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temp\"/>
    </mc:Choice>
  </mc:AlternateContent>
  <bookViews>
    <workbookView xWindow="4056" yWindow="0" windowWidth="23040" windowHeight="9060" tabRatio="773"/>
  </bookViews>
  <sheets>
    <sheet name="1 (1)" sheetId="2" r:id="rId1"/>
    <sheet name="1 (2)" sheetId="1" r:id="rId2"/>
    <sheet name="1 (3)" sheetId="4" r:id="rId3"/>
    <sheet name="2 (1)" sheetId="5" r:id="rId4"/>
    <sheet name="2 (2)" sheetId="6" r:id="rId5"/>
    <sheet name="3 (1)" sheetId="69" r:id="rId6"/>
    <sheet name="3 (2)" sheetId="70" r:id="rId7"/>
    <sheet name="3 (3)" sheetId="71" r:id="rId8"/>
    <sheet name="4 (1)" sheetId="72" r:id="rId9"/>
    <sheet name="4 (2)" sheetId="73" r:id="rId10"/>
    <sheet name="4 (3)" sheetId="74" r:id="rId11"/>
    <sheet name="5 (1)" sheetId="75" r:id="rId12"/>
    <sheet name="5 (2)" sheetId="76" r:id="rId13"/>
    <sheet name="5 (3)" sheetId="77" r:id="rId14"/>
    <sheet name="5 (4)" sheetId="78" r:id="rId15"/>
    <sheet name="5 (5)" sheetId="79" r:id="rId16"/>
    <sheet name="5 (6)" sheetId="80" r:id="rId17"/>
    <sheet name="5 (7)" sheetId="81" r:id="rId18"/>
    <sheet name="6 (1)" sheetId="14" r:id="rId19"/>
    <sheet name="6 (2)" sheetId="15" r:id="rId20"/>
    <sheet name="7 (1)" sheetId="16" r:id="rId21"/>
    <sheet name="7 (2)" sheetId="17" r:id="rId22"/>
    <sheet name="7 (3)" sheetId="18" r:id="rId23"/>
    <sheet name="8 (1)" sheetId="19" r:id="rId24"/>
    <sheet name="8 (2)" sheetId="20" r:id="rId25"/>
    <sheet name="8 (3)" sheetId="21" r:id="rId26"/>
    <sheet name="9 (1)" sheetId="22" r:id="rId27"/>
    <sheet name="10 (1)" sheetId="23" r:id="rId28"/>
    <sheet name="10 (2)" sheetId="24" r:id="rId29"/>
    <sheet name="10 (3)" sheetId="25" r:id="rId30"/>
    <sheet name="10 (4)" sheetId="26" r:id="rId31"/>
    <sheet name="10 (5)" sheetId="27" r:id="rId32"/>
    <sheet name="10 (6)" sheetId="28" r:id="rId33"/>
    <sheet name="10 (7)" sheetId="29" r:id="rId34"/>
    <sheet name="10 (8)" sheetId="30" r:id="rId35"/>
    <sheet name="10 (9)" sheetId="31" r:id="rId36"/>
    <sheet name="11 (1)" sheetId="32" r:id="rId37"/>
    <sheet name="11 (2)" sheetId="34" r:id="rId38"/>
    <sheet name="11 (3)" sheetId="35" r:id="rId39"/>
    <sheet name="12 (1)" sheetId="36" r:id="rId40"/>
    <sheet name="12 (2)" sheetId="37" r:id="rId41"/>
    <sheet name="13 (1)" sheetId="38" r:id="rId42"/>
    <sheet name="13 (2)" sheetId="39" r:id="rId43"/>
    <sheet name="13 (3)" sheetId="40" r:id="rId44"/>
    <sheet name="14 (1)" sheetId="41" r:id="rId45"/>
    <sheet name="14 (2)" sheetId="42" r:id="rId46"/>
    <sheet name="14 (3)" sheetId="43" r:id="rId47"/>
    <sheet name="15 (1)" sheetId="45" r:id="rId48"/>
    <sheet name="15 (2)" sheetId="46" r:id="rId49"/>
    <sheet name="16 (1)" sheetId="47" r:id="rId50"/>
    <sheet name="17 (1)" sheetId="49" r:id="rId51"/>
    <sheet name="17 (2)" sheetId="50" r:id="rId52"/>
    <sheet name="17 (3)" sheetId="51" r:id="rId53"/>
    <sheet name="18 (1)" sheetId="93" r:id="rId54"/>
    <sheet name="18 (2)" sheetId="94" r:id="rId55"/>
    <sheet name="19 (1)" sheetId="52" r:id="rId56"/>
    <sheet name="19 (2)" sheetId="53" r:id="rId57"/>
    <sheet name="19 (3)" sheetId="83" r:id="rId58"/>
    <sheet name="19 (4)" sheetId="84" r:id="rId59"/>
    <sheet name="19 (5)" sheetId="85" r:id="rId60"/>
    <sheet name="20 (1)" sheetId="54" r:id="rId61"/>
    <sheet name="20 (2)" sheetId="55" r:id="rId62"/>
    <sheet name="20 (3)" sheetId="56" r:id="rId63"/>
    <sheet name="21 (1)" sheetId="57" r:id="rId64"/>
    <sheet name="21 (2)" sheetId="58" r:id="rId65"/>
    <sheet name="21 (3)" sheetId="59" r:id="rId66"/>
    <sheet name="22 (1)" sheetId="60" r:id="rId67"/>
    <sheet name="22 (2)" sheetId="61" r:id="rId68"/>
    <sheet name="23 (1)" sheetId="63" r:id="rId69"/>
    <sheet name="23 (2)" sheetId="96" r:id="rId70"/>
    <sheet name="24 (1)" sheetId="64" r:id="rId71"/>
    <sheet name="24 (2)" sheetId="65" r:id="rId72"/>
    <sheet name="24 (3)" sheetId="66" r:id="rId73"/>
    <sheet name="24 (4)" sheetId="95" r:id="rId74"/>
    <sheet name="24 (5 a only)" sheetId="97" r:id="rId75"/>
    <sheet name="25 (1)" sheetId="87" r:id="rId76"/>
    <sheet name="25 (2)" sheetId="88" r:id="rId77"/>
    <sheet name="25 (3)" sheetId="89" r:id="rId78"/>
    <sheet name="25 (4)" sheetId="91" r:id="rId79"/>
    <sheet name="25 (5)" sheetId="92" r:id="rId80"/>
    <sheet name="26 (1)" sheetId="67" r:id="rId81"/>
    <sheet name="26 (2)" sheetId="68" r:id="rId82"/>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71027"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0" i="97" l="1"/>
  <c r="B40" i="97"/>
  <c r="D39" i="97"/>
  <c r="B39" i="97"/>
  <c r="D38" i="97"/>
  <c r="B38" i="97"/>
  <c r="D37" i="97"/>
  <c r="B37" i="97"/>
  <c r="B36" i="97"/>
  <c r="J32" i="97"/>
  <c r="J33" i="97" s="1"/>
  <c r="I32" i="97"/>
  <c r="I33" i="97" s="1"/>
  <c r="H32" i="97"/>
  <c r="G32" i="97" s="1"/>
  <c r="J31" i="97"/>
  <c r="I31" i="97"/>
  <c r="H31" i="97"/>
  <c r="G31" i="97"/>
  <c r="F31" i="97"/>
  <c r="E31" i="97"/>
  <c r="D31" i="97"/>
  <c r="C31" i="97"/>
  <c r="G33" i="97" l="1"/>
  <c r="F32" i="97"/>
  <c r="C37" i="97"/>
  <c r="E37" i="97" s="1"/>
  <c r="H33" i="97"/>
  <c r="C38" i="97" s="1"/>
  <c r="E38" i="97" s="1"/>
  <c r="R30" i="96"/>
  <c r="S30" i="96" s="1"/>
  <c r="R29" i="96"/>
  <c r="S29" i="96" s="1"/>
  <c r="R28" i="96"/>
  <c r="S28" i="96" s="1"/>
  <c r="S27" i="96"/>
  <c r="R27" i="96"/>
  <c r="N19" i="96"/>
  <c r="N21" i="96" s="1"/>
  <c r="Q12" i="96"/>
  <c r="Q11" i="96"/>
  <c r="Q10" i="96"/>
  <c r="Q9" i="96"/>
  <c r="Q14" i="96" l="1"/>
  <c r="O17" i="96" s="1"/>
  <c r="F33" i="97"/>
  <c r="E32" i="97"/>
  <c r="S32" i="96"/>
  <c r="O34" i="96" s="1"/>
  <c r="E33" i="97" l="1"/>
  <c r="C39" i="97" s="1"/>
  <c r="E39" i="97" s="1"/>
  <c r="D32" i="97"/>
  <c r="D32" i="95"/>
  <c r="D31" i="95"/>
  <c r="D30" i="95"/>
  <c r="D29" i="95"/>
  <c r="C32" i="95"/>
  <c r="E32" i="95" s="1"/>
  <c r="C31" i="95"/>
  <c r="E31" i="95" s="1"/>
  <c r="C30" i="95"/>
  <c r="E30" i="95" s="1"/>
  <c r="C29" i="95"/>
  <c r="E29" i="95" l="1"/>
  <c r="C32" i="97"/>
  <c r="C33" i="97" s="1"/>
  <c r="D33" i="97"/>
  <c r="C40" i="97" s="1"/>
  <c r="E40" i="97" s="1"/>
  <c r="E74" i="88"/>
  <c r="E72" i="88"/>
  <c r="F31" i="94" l="1"/>
  <c r="H31" i="94" s="1"/>
  <c r="F32" i="94"/>
  <c r="F33" i="94"/>
  <c r="F34" i="94"/>
  <c r="C36" i="94"/>
  <c r="D36" i="94"/>
  <c r="E36" i="94"/>
  <c r="E37" i="94" s="1"/>
  <c r="G32" i="94" s="1"/>
  <c r="H32" i="94" s="1"/>
  <c r="C42" i="94"/>
  <c r="D42" i="94"/>
  <c r="E42" i="94"/>
  <c r="D50" i="94" s="1"/>
  <c r="F42" i="94"/>
  <c r="E50" i="94" s="1"/>
  <c r="E54" i="94" s="1"/>
  <c r="E55" i="94" s="1"/>
  <c r="C43" i="94"/>
  <c r="D43" i="94"/>
  <c r="C51" i="94" s="1"/>
  <c r="E43" i="94"/>
  <c r="D51" i="94" s="1"/>
  <c r="J43" i="94"/>
  <c r="J42" i="94" s="1"/>
  <c r="C44" i="94"/>
  <c r="D44" i="94"/>
  <c r="H43" i="94" s="1"/>
  <c r="C50" i="94"/>
  <c r="J41" i="94" l="1"/>
  <c r="H42" i="94"/>
  <c r="H41" i="94"/>
  <c r="K41" i="94" s="1"/>
  <c r="D54" i="94"/>
  <c r="D55" i="94" s="1"/>
  <c r="C52" i="94"/>
  <c r="C54" i="94" s="1"/>
  <c r="I42" i="94"/>
  <c r="K42" i="94" s="1"/>
  <c r="D37" i="94"/>
  <c r="C32" i="93"/>
  <c r="D32" i="93"/>
  <c r="E32" i="93"/>
  <c r="E34" i="93" s="1"/>
  <c r="D34" i="93" s="1"/>
  <c r="C45" i="93"/>
  <c r="C54" i="93" s="1"/>
  <c r="D45" i="93"/>
  <c r="D54" i="93" s="1"/>
  <c r="E45" i="93"/>
  <c r="F45" i="93"/>
  <c r="F54" i="93" s="1"/>
  <c r="C46" i="93"/>
  <c r="C55" i="93" s="1"/>
  <c r="D46" i="93"/>
  <c r="D55" i="93" s="1"/>
  <c r="E46" i="93"/>
  <c r="E55" i="93" s="1"/>
  <c r="C47" i="93"/>
  <c r="C56" i="93" s="1"/>
  <c r="D47" i="93"/>
  <c r="D56" i="93" s="1"/>
  <c r="E54" i="93"/>
  <c r="D70" i="93"/>
  <c r="D71" i="93"/>
  <c r="D72" i="93"/>
  <c r="C62" i="93" l="1"/>
  <c r="C34" i="93"/>
  <c r="B37" i="93" s="1"/>
  <c r="C61" i="93"/>
  <c r="C70" i="93"/>
  <c r="E70" i="93" s="1"/>
  <c r="E60" i="93"/>
  <c r="E63" i="93" s="1"/>
  <c r="E65" i="93" s="1"/>
  <c r="C60" i="93"/>
  <c r="D60" i="93"/>
  <c r="D61" i="93"/>
  <c r="G33" i="94"/>
  <c r="C37" i="94"/>
  <c r="G34" i="94" s="1"/>
  <c r="H34" i="94" s="1"/>
  <c r="C55" i="94"/>
  <c r="I44" i="94" s="1"/>
  <c r="I43" i="94"/>
  <c r="K43" i="94" s="1"/>
  <c r="K48" i="94" s="1"/>
  <c r="K49" i="94" s="1"/>
  <c r="C44" i="92"/>
  <c r="D44" i="92"/>
  <c r="E44" i="92"/>
  <c r="C45" i="92"/>
  <c r="D45" i="92"/>
  <c r="C46" i="92"/>
  <c r="D47" i="92"/>
  <c r="E47" i="92"/>
  <c r="E48" i="92" s="1"/>
  <c r="C52" i="92" s="1"/>
  <c r="C51" i="92"/>
  <c r="C58" i="92"/>
  <c r="D58" i="92"/>
  <c r="E58" i="92"/>
  <c r="H58" i="92"/>
  <c r="I58" i="92"/>
  <c r="I61" i="92" s="1"/>
  <c r="J58" i="92"/>
  <c r="J61" i="92" s="1"/>
  <c r="J62" i="92" s="1"/>
  <c r="D66" i="92" s="1"/>
  <c r="C59" i="92"/>
  <c r="D59" i="92"/>
  <c r="H59" i="92"/>
  <c r="H61" i="92" s="1"/>
  <c r="I59" i="92"/>
  <c r="C60" i="92"/>
  <c r="H60" i="92"/>
  <c r="C61" i="92"/>
  <c r="E61" i="92"/>
  <c r="E62" i="92"/>
  <c r="C66" i="92" s="1"/>
  <c r="C65" i="92"/>
  <c r="D65" i="92"/>
  <c r="E65" i="92"/>
  <c r="E66" i="92"/>
  <c r="E67" i="92"/>
  <c r="E68" i="92"/>
  <c r="E77" i="92"/>
  <c r="E78" i="92"/>
  <c r="E79" i="92"/>
  <c r="E80" i="92"/>
  <c r="B46" i="91"/>
  <c r="C46" i="91"/>
  <c r="D46" i="91"/>
  <c r="B47" i="91"/>
  <c r="C47" i="91"/>
  <c r="B48" i="91"/>
  <c r="D50" i="91"/>
  <c r="D51" i="91" s="1"/>
  <c r="B57" i="91"/>
  <c r="C57" i="91"/>
  <c r="D57" i="91"/>
  <c r="D61" i="91" s="1"/>
  <c r="D62" i="91" s="1"/>
  <c r="B71" i="91" s="1"/>
  <c r="C71" i="91" s="1"/>
  <c r="B58" i="91"/>
  <c r="C58" i="91"/>
  <c r="B59" i="91"/>
  <c r="C61" i="91"/>
  <c r="C62" i="91" s="1"/>
  <c r="B72" i="91" s="1"/>
  <c r="C72" i="91" s="1"/>
  <c r="B70" i="91"/>
  <c r="C70" i="91" s="1"/>
  <c r="D44" i="89"/>
  <c r="E44" i="89"/>
  <c r="F44" i="89"/>
  <c r="F48" i="89" s="1"/>
  <c r="F49" i="89" s="1"/>
  <c r="E49" i="89" s="1"/>
  <c r="D45" i="89"/>
  <c r="E45" i="89"/>
  <c r="D46" i="89"/>
  <c r="E48" i="89"/>
  <c r="D53" i="89"/>
  <c r="E53" i="89"/>
  <c r="D54" i="89"/>
  <c r="D55" i="89"/>
  <c r="D56" i="89"/>
  <c r="D61" i="89"/>
  <c r="E61" i="89"/>
  <c r="F61" i="89"/>
  <c r="J61" i="89"/>
  <c r="J65" i="89" s="1"/>
  <c r="K61" i="89"/>
  <c r="K65" i="89" s="1"/>
  <c r="L61" i="89"/>
  <c r="D62" i="89"/>
  <c r="E62" i="89"/>
  <c r="E65" i="89" s="1"/>
  <c r="J62" i="89"/>
  <c r="K62" i="89"/>
  <c r="D63" i="89"/>
  <c r="J63" i="89"/>
  <c r="D65" i="89"/>
  <c r="F65" i="89"/>
  <c r="L65" i="89"/>
  <c r="L66" i="89" s="1"/>
  <c r="G72" i="89" s="1"/>
  <c r="F66" i="89"/>
  <c r="D71" i="89"/>
  <c r="H71" i="89" s="1"/>
  <c r="E71" i="89"/>
  <c r="F71" i="89"/>
  <c r="G71" i="89"/>
  <c r="D72" i="89"/>
  <c r="E72" i="89"/>
  <c r="F72" i="89"/>
  <c r="D73" i="89"/>
  <c r="E73" i="89"/>
  <c r="D74" i="89"/>
  <c r="E74" i="89"/>
  <c r="C43" i="88"/>
  <c r="D43" i="88"/>
  <c r="D47" i="88" s="1"/>
  <c r="E43" i="88"/>
  <c r="C44" i="88"/>
  <c r="D44" i="88"/>
  <c r="C45" i="88"/>
  <c r="E47" i="88"/>
  <c r="E50" i="88" s="1"/>
  <c r="C54" i="88" s="1"/>
  <c r="F50" i="88"/>
  <c r="C53" i="88" s="1"/>
  <c r="B53" i="88"/>
  <c r="B54" i="88"/>
  <c r="B70" i="88" s="1"/>
  <c r="B55" i="88"/>
  <c r="B71" i="88" s="1"/>
  <c r="B56" i="88"/>
  <c r="C60" i="88"/>
  <c r="D60" i="88"/>
  <c r="E60" i="88"/>
  <c r="B61" i="88"/>
  <c r="C61" i="88"/>
  <c r="D61" i="88"/>
  <c r="D65" i="88" s="1"/>
  <c r="E61" i="88"/>
  <c r="E65" i="88" s="1"/>
  <c r="C70" i="88" s="1"/>
  <c r="D70" i="88" s="1"/>
  <c r="B62" i="88"/>
  <c r="C62" i="88"/>
  <c r="D62" i="88"/>
  <c r="B63" i="88"/>
  <c r="C63" i="88"/>
  <c r="B68" i="88"/>
  <c r="B69" i="88"/>
  <c r="C69" i="88"/>
  <c r="D69" i="88"/>
  <c r="E69" i="88"/>
  <c r="E70" i="88"/>
  <c r="E71" i="88"/>
  <c r="B72" i="88"/>
  <c r="C80" i="88"/>
  <c r="D43" i="87"/>
  <c r="E43" i="87"/>
  <c r="F43" i="87"/>
  <c r="G43" i="87"/>
  <c r="D44" i="87"/>
  <c r="D49" i="87" s="1"/>
  <c r="E44" i="87"/>
  <c r="E49" i="87" s="1"/>
  <c r="F44" i="87"/>
  <c r="G44" i="87"/>
  <c r="C45" i="87"/>
  <c r="D45" i="87"/>
  <c r="E45" i="87"/>
  <c r="F45" i="87"/>
  <c r="G45" i="87"/>
  <c r="C46" i="87"/>
  <c r="C47" i="87" s="1"/>
  <c r="D46" i="87"/>
  <c r="E46" i="87"/>
  <c r="F46" i="87"/>
  <c r="G46" i="87"/>
  <c r="D47" i="87"/>
  <c r="E47" i="87"/>
  <c r="F47" i="87"/>
  <c r="G47" i="87"/>
  <c r="D56" i="87"/>
  <c r="E56" i="87"/>
  <c r="F56" i="87"/>
  <c r="G56" i="87"/>
  <c r="D57" i="87"/>
  <c r="E57" i="87"/>
  <c r="E62" i="87" s="1"/>
  <c r="F57" i="87"/>
  <c r="G57" i="87"/>
  <c r="C58" i="87"/>
  <c r="D58" i="87"/>
  <c r="E58" i="87"/>
  <c r="F58" i="87"/>
  <c r="G58" i="87"/>
  <c r="C59" i="87"/>
  <c r="C60" i="87" s="1"/>
  <c r="D59" i="87"/>
  <c r="E59" i="87"/>
  <c r="F59" i="87"/>
  <c r="F62" i="87" s="1"/>
  <c r="F63" i="87" s="1"/>
  <c r="F68" i="87" s="1"/>
  <c r="G59" i="87"/>
  <c r="D60" i="87"/>
  <c r="E60" i="87"/>
  <c r="F60" i="87"/>
  <c r="G60" i="87"/>
  <c r="G63" i="87"/>
  <c r="F67" i="87" s="1"/>
  <c r="D67" i="87"/>
  <c r="E67" i="87"/>
  <c r="G67" i="87" s="1"/>
  <c r="C68" i="87"/>
  <c r="D68" i="87"/>
  <c r="E68" i="87"/>
  <c r="C69" i="87"/>
  <c r="C70" i="87" s="1"/>
  <c r="D69" i="87"/>
  <c r="E69" i="87"/>
  <c r="D70" i="87"/>
  <c r="E70" i="87"/>
  <c r="G68" i="87" l="1"/>
  <c r="H67" i="87"/>
  <c r="I71" i="89"/>
  <c r="C50" i="91"/>
  <c r="C51" i="91" s="1"/>
  <c r="H68" i="87"/>
  <c r="D48" i="89"/>
  <c r="D61" i="92"/>
  <c r="D62" i="92" s="1"/>
  <c r="C63" i="93"/>
  <c r="D62" i="87"/>
  <c r="D50" i="88"/>
  <c r="C55" i="88" s="1"/>
  <c r="H72" i="89"/>
  <c r="I72" i="89" s="1"/>
  <c r="F53" i="89"/>
  <c r="B50" i="91"/>
  <c r="F49" i="87"/>
  <c r="F50" i="87" s="1"/>
  <c r="C65" i="88"/>
  <c r="B61" i="91"/>
  <c r="B62" i="91" s="1"/>
  <c r="B73" i="91" s="1"/>
  <c r="C73" i="91" s="1"/>
  <c r="C47" i="92"/>
  <c r="D63" i="93"/>
  <c r="D65" i="93" s="1"/>
  <c r="J54" i="94"/>
  <c r="H33" i="94"/>
  <c r="C71" i="93"/>
  <c r="E71" i="93" s="1"/>
  <c r="C72" i="88"/>
  <c r="D72" i="88" s="1"/>
  <c r="K66" i="89"/>
  <c r="G73" i="89" s="1"/>
  <c r="H73" i="89" s="1"/>
  <c r="I73" i="89" s="1"/>
  <c r="D48" i="92"/>
  <c r="C53" i="92" s="1"/>
  <c r="J66" i="89"/>
  <c r="G74" i="89" s="1"/>
  <c r="H74" i="89" s="1"/>
  <c r="I62" i="92"/>
  <c r="D67" i="92" s="1"/>
  <c r="E66" i="89"/>
  <c r="F73" i="89" s="1"/>
  <c r="C48" i="92"/>
  <c r="C54" i="92" s="1"/>
  <c r="E55" i="89"/>
  <c r="F55" i="89" s="1"/>
  <c r="D49" i="89"/>
  <c r="E56" i="89" s="1"/>
  <c r="F56" i="89" s="1"/>
  <c r="E63" i="87"/>
  <c r="F69" i="87" s="1"/>
  <c r="G69" i="87" s="1"/>
  <c r="H69" i="87" s="1"/>
  <c r="E50" i="87"/>
  <c r="D50" i="87" s="1"/>
  <c r="D52" i="87" s="1"/>
  <c r="H62" i="92"/>
  <c r="D68" i="92" s="1"/>
  <c r="B51" i="91"/>
  <c r="B53" i="91" s="1"/>
  <c r="C71" i="88"/>
  <c r="D71" i="88" s="1"/>
  <c r="C47" i="88"/>
  <c r="C50" i="88" s="1"/>
  <c r="C56" i="88" s="1"/>
  <c r="E54" i="89"/>
  <c r="F54" i="89" s="1"/>
  <c r="F32" i="79"/>
  <c r="G32" i="79"/>
  <c r="E35" i="79" s="1"/>
  <c r="F33" i="79"/>
  <c r="E36" i="79" s="1"/>
  <c r="G33" i="79"/>
  <c r="F34" i="79"/>
  <c r="G34" i="79"/>
  <c r="L11" i="78"/>
  <c r="L14" i="78"/>
  <c r="L15" i="78"/>
  <c r="L16" i="78"/>
  <c r="L17" i="78"/>
  <c r="L18" i="78"/>
  <c r="L19" i="78"/>
  <c r="D35" i="77"/>
  <c r="D36" i="77"/>
  <c r="F34" i="77" s="1"/>
  <c r="B32" i="76"/>
  <c r="B33" i="76"/>
  <c r="B34" i="76" s="1"/>
  <c r="B35" i="76" s="1"/>
  <c r="C38" i="75"/>
  <c r="D38" i="75"/>
  <c r="C39" i="75"/>
  <c r="D39" i="75"/>
  <c r="C40" i="75"/>
  <c r="D40" i="75"/>
  <c r="C67" i="92" l="1"/>
  <c r="C62" i="92"/>
  <c r="C68" i="92" s="1"/>
  <c r="E42" i="75"/>
  <c r="L20" i="78"/>
  <c r="L22" i="78" s="1"/>
  <c r="L23" i="78" s="1"/>
  <c r="C65" i="93"/>
  <c r="C72" i="93"/>
  <c r="E72" i="93" s="1"/>
  <c r="E75" i="93" s="1"/>
  <c r="B79" i="93" s="1"/>
  <c r="D66" i="89"/>
  <c r="F74" i="89" s="1"/>
  <c r="I74" i="89" s="1"/>
  <c r="D63" i="87"/>
  <c r="F70" i="87" s="1"/>
  <c r="G70" i="87" s="1"/>
  <c r="H70" i="87" s="1"/>
  <c r="E37" i="79"/>
  <c r="E38" i="79" s="1"/>
  <c r="C32" i="79" s="1"/>
  <c r="C29" i="74"/>
  <c r="D29" i="74"/>
  <c r="E29" i="74"/>
  <c r="F29" i="74" s="1"/>
  <c r="H29" i="74" s="1"/>
  <c r="C30" i="74"/>
  <c r="D30" i="74"/>
  <c r="E30" i="74"/>
  <c r="F30" i="74" s="1"/>
  <c r="H30" i="74" s="1"/>
  <c r="H27" i="73"/>
  <c r="H28" i="73"/>
  <c r="C29" i="72"/>
  <c r="D29" i="72"/>
  <c r="E29" i="72"/>
  <c r="C30" i="72"/>
  <c r="D30" i="72"/>
  <c r="E30" i="72"/>
  <c r="C34" i="72" l="1"/>
  <c r="C39" i="72" s="1"/>
  <c r="C35" i="72"/>
  <c r="C40" i="72" s="1"/>
  <c r="G42" i="66"/>
  <c r="H42" i="66" s="1"/>
  <c r="G41" i="66"/>
  <c r="H41" i="66" s="1"/>
  <c r="F41" i="66"/>
  <c r="F40" i="66" s="1"/>
  <c r="F39" i="66" s="1"/>
  <c r="G40" i="66"/>
  <c r="H40" i="66" s="1"/>
  <c r="G39" i="66"/>
  <c r="H39" i="66" s="1"/>
  <c r="K36" i="66"/>
  <c r="G36" i="66"/>
  <c r="H36" i="66" s="1"/>
  <c r="K35" i="66"/>
  <c r="G35" i="66"/>
  <c r="H35" i="66" s="1"/>
  <c r="F35" i="66"/>
  <c r="F34" i="66" s="1"/>
  <c r="F33" i="66" s="1"/>
  <c r="K34" i="66"/>
  <c r="G34" i="66"/>
  <c r="H34" i="66" s="1"/>
  <c r="K33" i="66"/>
  <c r="G33" i="66"/>
  <c r="H33" i="66" s="1"/>
  <c r="G42" i="65"/>
  <c r="G41" i="65"/>
  <c r="G40" i="65"/>
  <c r="G39" i="65"/>
  <c r="I33" i="65"/>
  <c r="H39" i="65" s="1"/>
  <c r="H33" i="65"/>
  <c r="F39" i="65" s="1"/>
  <c r="G33" i="65"/>
  <c r="H40" i="65" s="1"/>
  <c r="F33" i="65"/>
  <c r="F40" i="65" s="1"/>
  <c r="E33" i="65"/>
  <c r="H41" i="65" s="1"/>
  <c r="D33" i="65"/>
  <c r="F41" i="65" s="1"/>
  <c r="C33" i="65"/>
  <c r="H42" i="65" s="1"/>
  <c r="B33" i="65"/>
  <c r="F42" i="65" s="1"/>
  <c r="G33" i="64"/>
  <c r="G32" i="64"/>
  <c r="G31" i="64"/>
  <c r="G30" i="64"/>
  <c r="E30" i="64"/>
  <c r="D30" i="64"/>
  <c r="D31" i="64" s="1"/>
  <c r="F30" i="64" l="1"/>
  <c r="H30" i="64" s="1"/>
  <c r="J33" i="66"/>
  <c r="L33" i="66" s="1"/>
  <c r="J34" i="66"/>
  <c r="L34" i="66" s="1"/>
  <c r="J35" i="66"/>
  <c r="L35" i="66" s="1"/>
  <c r="I42" i="65"/>
  <c r="J42" i="65" s="1"/>
  <c r="K42" i="65" s="1"/>
  <c r="I39" i="65"/>
  <c r="E31" i="64"/>
  <c r="F31" i="64" s="1"/>
  <c r="H31" i="64" s="1"/>
  <c r="I41" i="65"/>
  <c r="J41" i="65" s="1"/>
  <c r="K41" i="65" s="1"/>
  <c r="I40" i="65"/>
  <c r="J40" i="65" s="1"/>
  <c r="K40" i="65" s="1"/>
  <c r="E32" i="64"/>
  <c r="D32" i="64"/>
  <c r="J39" i="65"/>
  <c r="K39" i="65" s="1"/>
  <c r="J36" i="66"/>
  <c r="L36" i="66" s="1"/>
  <c r="R30" i="63"/>
  <c r="S30" i="63" s="1"/>
  <c r="O34" i="63" s="1"/>
  <c r="R29" i="63"/>
  <c r="S29" i="63" s="1"/>
  <c r="R28" i="63"/>
  <c r="S28" i="63" s="1"/>
  <c r="R27" i="63"/>
  <c r="S27" i="63" s="1"/>
  <c r="O18" i="63"/>
  <c r="O19" i="63" s="1"/>
  <c r="Q12" i="63"/>
  <c r="O16" i="63" s="1"/>
  <c r="Q11" i="63"/>
  <c r="Q10" i="63"/>
  <c r="Q9" i="63"/>
  <c r="O21" i="63" l="1"/>
  <c r="E33" i="64"/>
  <c r="D33" i="64"/>
  <c r="F32" i="64"/>
  <c r="O36" i="63"/>
  <c r="F33" i="64" l="1"/>
  <c r="H33" i="64" s="1"/>
  <c r="H32" i="64"/>
  <c r="C59" i="61"/>
  <c r="G59" i="61" s="1"/>
  <c r="C54" i="61"/>
  <c r="C53" i="61"/>
  <c r="C52" i="61"/>
  <c r="C51" i="61"/>
  <c r="F47" i="61"/>
  <c r="F48" i="61" s="1"/>
  <c r="D51" i="61" s="1"/>
  <c r="C46" i="61"/>
  <c r="D45" i="61"/>
  <c r="C45" i="61"/>
  <c r="E44" i="61"/>
  <c r="E47" i="61" s="1"/>
  <c r="E48" i="61" s="1"/>
  <c r="D52" i="61" s="1"/>
  <c r="E52" i="61" s="1"/>
  <c r="F52" i="61" s="1"/>
  <c r="G52" i="61" s="1"/>
  <c r="K52" i="61" s="1"/>
  <c r="D44" i="61"/>
  <c r="C44" i="61"/>
  <c r="E72" i="60"/>
  <c r="E73" i="60" s="1"/>
  <c r="E74" i="60" s="1"/>
  <c r="C68" i="60"/>
  <c r="D67" i="60"/>
  <c r="C67" i="60"/>
  <c r="E66" i="60"/>
  <c r="D66" i="60"/>
  <c r="C66" i="60"/>
  <c r="C46" i="60"/>
  <c r="D45" i="60"/>
  <c r="C45" i="60"/>
  <c r="E44" i="60"/>
  <c r="D44" i="60"/>
  <c r="C44" i="60"/>
  <c r="F43" i="60"/>
  <c r="E43" i="60"/>
  <c r="D43" i="60"/>
  <c r="C43" i="60"/>
  <c r="E50" i="60" l="1"/>
  <c r="E53" i="60" s="1"/>
  <c r="E54" i="60" s="1"/>
  <c r="C58" i="60" s="1"/>
  <c r="D58" i="60" s="1"/>
  <c r="E51" i="61"/>
  <c r="F51" i="61" s="1"/>
  <c r="G51" i="61" s="1"/>
  <c r="D50" i="60"/>
  <c r="D47" i="61"/>
  <c r="D48" i="61" s="1"/>
  <c r="D53" i="61" s="1"/>
  <c r="E53" i="61" s="1"/>
  <c r="F53" i="61" s="1"/>
  <c r="G53" i="61" s="1"/>
  <c r="K53" i="61" s="1"/>
  <c r="C47" i="61"/>
  <c r="C52" i="60"/>
  <c r="C51" i="60"/>
  <c r="K51" i="61"/>
  <c r="C50" i="60"/>
  <c r="D51" i="60"/>
  <c r="C57" i="60"/>
  <c r="D57" i="60" s="1"/>
  <c r="D53" i="60" l="1"/>
  <c r="D54" i="60" s="1"/>
  <c r="C59" i="60" s="1"/>
  <c r="D59" i="60" s="1"/>
  <c r="C48" i="61"/>
  <c r="D54" i="61" s="1"/>
  <c r="E54" i="61" s="1"/>
  <c r="F54" i="61" s="1"/>
  <c r="C53" i="60"/>
  <c r="C54" i="60" s="1"/>
  <c r="C60" i="60" s="1"/>
  <c r="F56" i="59"/>
  <c r="C54" i="59"/>
  <c r="D53" i="59"/>
  <c r="C53" i="59"/>
  <c r="E52" i="59"/>
  <c r="D52" i="59"/>
  <c r="C52" i="59"/>
  <c r="F51" i="59"/>
  <c r="E51" i="59"/>
  <c r="D51" i="59"/>
  <c r="C51" i="59"/>
  <c r="T48" i="59"/>
  <c r="P19" i="59"/>
  <c r="P27" i="59" s="1"/>
  <c r="P35" i="59" s="1"/>
  <c r="T16" i="59"/>
  <c r="T20" i="59" s="1"/>
  <c r="T28" i="59" s="1"/>
  <c r="S16" i="59"/>
  <c r="S21" i="59" s="1"/>
  <c r="S29" i="59" s="1"/>
  <c r="R16" i="59"/>
  <c r="R23" i="59" s="1"/>
  <c r="R31" i="59" s="1"/>
  <c r="Q16" i="59"/>
  <c r="Q23" i="59" s="1"/>
  <c r="Q31" i="59" s="1"/>
  <c r="P15" i="59"/>
  <c r="P12" i="59"/>
  <c r="P24" i="59" s="1"/>
  <c r="P32" i="59" s="1"/>
  <c r="P40" i="59" s="1"/>
  <c r="Q11" i="59"/>
  <c r="P11" i="59"/>
  <c r="P23" i="59" s="1"/>
  <c r="P31" i="59" s="1"/>
  <c r="P39" i="59" s="1"/>
  <c r="P46" i="59" s="1"/>
  <c r="R10" i="59"/>
  <c r="R11" i="59" s="1"/>
  <c r="P10" i="59"/>
  <c r="P22" i="59" s="1"/>
  <c r="P30" i="59" s="1"/>
  <c r="P38" i="59" s="1"/>
  <c r="P45" i="59" s="1"/>
  <c r="S9" i="59"/>
  <c r="S8" i="59" s="1"/>
  <c r="P9" i="59"/>
  <c r="P21" i="59" s="1"/>
  <c r="P29" i="59" s="1"/>
  <c r="P37" i="59" s="1"/>
  <c r="P44" i="59" s="1"/>
  <c r="T8" i="59"/>
  <c r="T9" i="59" s="1"/>
  <c r="P8" i="59"/>
  <c r="P20" i="59" s="1"/>
  <c r="P28" i="59" s="1"/>
  <c r="P36" i="59" s="1"/>
  <c r="P43" i="59" s="1"/>
  <c r="T7" i="59"/>
  <c r="T19" i="59" s="1"/>
  <c r="T27" i="59" s="1"/>
  <c r="T35" i="59" s="1"/>
  <c r="S7" i="59"/>
  <c r="S19" i="59" s="1"/>
  <c r="S27" i="59" s="1"/>
  <c r="S35" i="59" s="1"/>
  <c r="R7" i="59"/>
  <c r="R15" i="59" s="1"/>
  <c r="Q7" i="59"/>
  <c r="Q15" i="59" s="1"/>
  <c r="I71" i="58"/>
  <c r="J70" i="58"/>
  <c r="I70" i="58"/>
  <c r="K69" i="58"/>
  <c r="J69" i="58"/>
  <c r="I69" i="58"/>
  <c r="L68" i="58"/>
  <c r="K68" i="58"/>
  <c r="J68" i="58"/>
  <c r="I68" i="58"/>
  <c r="L67" i="58"/>
  <c r="K67" i="58"/>
  <c r="J67" i="58"/>
  <c r="I67" i="58"/>
  <c r="I58" i="58"/>
  <c r="J57" i="58"/>
  <c r="I57" i="58"/>
  <c r="K56" i="58"/>
  <c r="J56" i="58"/>
  <c r="I56" i="58"/>
  <c r="L55" i="58"/>
  <c r="L60" i="58" s="1"/>
  <c r="L61" i="58" s="1"/>
  <c r="K55" i="58"/>
  <c r="K60" i="58" s="1"/>
  <c r="K61" i="58" s="1"/>
  <c r="J55" i="58"/>
  <c r="I55" i="58"/>
  <c r="U47" i="57"/>
  <c r="U52" i="57" s="1"/>
  <c r="U53" i="57" s="1"/>
  <c r="R27" i="57"/>
  <c r="R35" i="57" s="1"/>
  <c r="S26" i="57"/>
  <c r="S34" i="57" s="1"/>
  <c r="R26" i="57"/>
  <c r="R34" i="57" s="1"/>
  <c r="T25" i="57"/>
  <c r="T33" i="57" s="1"/>
  <c r="S25" i="57"/>
  <c r="S33" i="57" s="1"/>
  <c r="R25" i="57"/>
  <c r="R33" i="57" s="1"/>
  <c r="U24" i="57"/>
  <c r="U32" i="57" s="1"/>
  <c r="T24" i="57"/>
  <c r="T32" i="57" s="1"/>
  <c r="S24" i="57"/>
  <c r="S32" i="57" s="1"/>
  <c r="R24" i="57"/>
  <c r="R32" i="57" s="1"/>
  <c r="R20" i="57"/>
  <c r="S19" i="57"/>
  <c r="R19" i="57"/>
  <c r="R28" i="57" s="1"/>
  <c r="R36" i="57" s="1"/>
  <c r="T18" i="57"/>
  <c r="S18" i="57"/>
  <c r="S27" i="57" s="1"/>
  <c r="S35" i="57" s="1"/>
  <c r="R18" i="57"/>
  <c r="U17" i="57"/>
  <c r="T17" i="57"/>
  <c r="T26" i="57" s="1"/>
  <c r="T34" i="57" s="1"/>
  <c r="S17" i="57"/>
  <c r="R17" i="57"/>
  <c r="U16" i="57"/>
  <c r="U25" i="57" s="1"/>
  <c r="U33" i="57" s="1"/>
  <c r="T16" i="57"/>
  <c r="S16" i="57"/>
  <c r="R16" i="57"/>
  <c r="R11" i="57"/>
  <c r="R12" i="57" s="1"/>
  <c r="R44" i="57" s="1"/>
  <c r="S10" i="57"/>
  <c r="T9" i="57"/>
  <c r="T10" i="57" s="1"/>
  <c r="U8" i="57"/>
  <c r="D55" i="59" l="1"/>
  <c r="S10" i="59"/>
  <c r="J60" i="58"/>
  <c r="J61" i="58" s="1"/>
  <c r="J77" i="58" s="1"/>
  <c r="J87" i="58" s="1"/>
  <c r="D59" i="61"/>
  <c r="Q39" i="59"/>
  <c r="R22" i="59"/>
  <c r="R30" i="59" s="1"/>
  <c r="E55" i="59"/>
  <c r="E56" i="59" s="1"/>
  <c r="D56" i="59" s="1"/>
  <c r="I60" i="58"/>
  <c r="I61" i="58" s="1"/>
  <c r="R20" i="59"/>
  <c r="R28" i="59" s="1"/>
  <c r="C55" i="59"/>
  <c r="T21" i="59"/>
  <c r="T29" i="59" s="1"/>
  <c r="T37" i="59" s="1"/>
  <c r="S44" i="59" s="1"/>
  <c r="S42" i="57"/>
  <c r="R39" i="59"/>
  <c r="Q10" i="59"/>
  <c r="Q9" i="59" s="1"/>
  <c r="Q8" i="59" s="1"/>
  <c r="S20" i="59"/>
  <c r="S28" i="59" s="1"/>
  <c r="S36" i="59" s="1"/>
  <c r="Q22" i="59"/>
  <c r="Q30" i="59" s="1"/>
  <c r="R19" i="59"/>
  <c r="R27" i="59" s="1"/>
  <c r="R35" i="59" s="1"/>
  <c r="Q12" i="59"/>
  <c r="Q20" i="59"/>
  <c r="Q28" i="59" s="1"/>
  <c r="Q24" i="59"/>
  <c r="Q32" i="59" s="1"/>
  <c r="U40" i="57"/>
  <c r="R43" i="57"/>
  <c r="S11" i="57"/>
  <c r="S43" i="57" s="1"/>
  <c r="S9" i="57"/>
  <c r="S8" i="57" s="1"/>
  <c r="S40" i="57" s="1"/>
  <c r="G54" i="61"/>
  <c r="D60" i="60"/>
  <c r="K77" i="58"/>
  <c r="K87" i="58" s="1"/>
  <c r="K76" i="58"/>
  <c r="K86" i="58" s="1"/>
  <c r="K78" i="58"/>
  <c r="K88" i="58" s="1"/>
  <c r="L77" i="58"/>
  <c r="L76" i="58"/>
  <c r="L86" i="58" s="1"/>
  <c r="S37" i="59"/>
  <c r="L87" i="58"/>
  <c r="T42" i="57"/>
  <c r="Q46" i="59"/>
  <c r="U9" i="57"/>
  <c r="U41" i="57" s="1"/>
  <c r="Q19" i="59"/>
  <c r="Q27" i="59" s="1"/>
  <c r="Q35" i="59" s="1"/>
  <c r="T36" i="59"/>
  <c r="R38" i="59"/>
  <c r="R10" i="57"/>
  <c r="S15" i="59"/>
  <c r="S22" i="59"/>
  <c r="S30" i="59" s="1"/>
  <c r="S38" i="59" s="1"/>
  <c r="R9" i="59"/>
  <c r="T15" i="59"/>
  <c r="Q21" i="59"/>
  <c r="Q29" i="59" s="1"/>
  <c r="T41" i="57"/>
  <c r="T8" i="57"/>
  <c r="T40" i="57" s="1"/>
  <c r="R21" i="59"/>
  <c r="R29" i="59" s="1"/>
  <c r="Q36" i="59" l="1"/>
  <c r="S49" i="57"/>
  <c r="J76" i="58"/>
  <c r="J86" i="58" s="1"/>
  <c r="J100" i="58" s="1"/>
  <c r="C56" i="59"/>
  <c r="C58" i="59" s="1"/>
  <c r="S41" i="57"/>
  <c r="S48" i="57" s="1"/>
  <c r="R50" i="57"/>
  <c r="S43" i="59"/>
  <c r="S47" i="59" s="1"/>
  <c r="S48" i="59" s="1"/>
  <c r="J78" i="58"/>
  <c r="J88" i="58" s="1"/>
  <c r="J102" i="58" s="1"/>
  <c r="J79" i="58"/>
  <c r="J89" i="58" s="1"/>
  <c r="R45" i="59"/>
  <c r="K100" i="58"/>
  <c r="Q40" i="59"/>
  <c r="Q37" i="59"/>
  <c r="Q38" i="59"/>
  <c r="Q45" i="59" s="1"/>
  <c r="K101" i="58"/>
  <c r="K104" i="58" s="1"/>
  <c r="K105" i="58" s="1"/>
  <c r="K106" i="58" s="1"/>
  <c r="T48" i="57"/>
  <c r="E59" i="61"/>
  <c r="F59" i="61" s="1"/>
  <c r="H59" i="61" s="1"/>
  <c r="C62" i="61" s="1"/>
  <c r="K54" i="61"/>
  <c r="G55" i="61"/>
  <c r="D61" i="60"/>
  <c r="E75" i="60"/>
  <c r="E76" i="60" s="1"/>
  <c r="R8" i="59"/>
  <c r="R37" i="59"/>
  <c r="J101" i="58"/>
  <c r="S47" i="57"/>
  <c r="R9" i="57"/>
  <c r="R42" i="57"/>
  <c r="R49" i="57" s="1"/>
  <c r="T47" i="57"/>
  <c r="T52" i="57" s="1"/>
  <c r="T53" i="57" s="1"/>
  <c r="I78" i="58"/>
  <c r="I88" i="58" s="1"/>
  <c r="I76" i="58"/>
  <c r="I80" i="58"/>
  <c r="I90" i="58" s="1"/>
  <c r="I77" i="58"/>
  <c r="I87" i="58" s="1"/>
  <c r="I101" i="58" s="1"/>
  <c r="I79" i="58"/>
  <c r="I89" i="58" s="1"/>
  <c r="I103" i="58" s="1"/>
  <c r="S52" i="57" l="1"/>
  <c r="S53" i="57" s="1"/>
  <c r="I102" i="58"/>
  <c r="Q44" i="59"/>
  <c r="J104" i="58"/>
  <c r="J105" i="58" s="1"/>
  <c r="J106" i="58" s="1"/>
  <c r="K55" i="61"/>
  <c r="R44" i="59"/>
  <c r="R36" i="59"/>
  <c r="I86" i="58"/>
  <c r="I100" i="58" s="1"/>
  <c r="I104" i="58" s="1"/>
  <c r="I105" i="58" s="1"/>
  <c r="R41" i="57"/>
  <c r="R48" i="57" s="1"/>
  <c r="R8" i="57"/>
  <c r="I106" i="58" l="1"/>
  <c r="I108" i="58" s="1"/>
  <c r="R40" i="57"/>
  <c r="R47" i="57" s="1"/>
  <c r="R52" i="57" s="1"/>
  <c r="R53" i="57" s="1"/>
  <c r="R55" i="57" s="1"/>
  <c r="Q43" i="59"/>
  <c r="R43" i="59"/>
  <c r="R47" i="59" s="1"/>
  <c r="R48" i="59" s="1"/>
  <c r="Q47" i="59" l="1"/>
  <c r="Q48" i="59" s="1"/>
  <c r="Q54" i="59" s="1"/>
  <c r="I8" i="51" l="1"/>
  <c r="J8" i="51"/>
  <c r="K8" i="51"/>
  <c r="L8" i="51"/>
  <c r="L12" i="51" s="1"/>
  <c r="L13" i="51" s="1"/>
  <c r="M8" i="51"/>
  <c r="I9" i="51"/>
  <c r="J9" i="51"/>
  <c r="K9" i="51"/>
  <c r="L9" i="51"/>
  <c r="I10" i="51"/>
  <c r="J10" i="51"/>
  <c r="K10" i="51"/>
  <c r="I11" i="51"/>
  <c r="J11" i="51"/>
  <c r="M12" i="51"/>
  <c r="M13" i="51" s="1"/>
  <c r="M14" i="51" s="1"/>
  <c r="M15" i="51" s="1"/>
  <c r="J21" i="51" s="1"/>
  <c r="K21" i="51" s="1"/>
  <c r="J20" i="51"/>
  <c r="K20" i="51" s="1"/>
  <c r="I31" i="51"/>
  <c r="J31" i="51"/>
  <c r="K31" i="51"/>
  <c r="L31" i="51"/>
  <c r="M31" i="51"/>
  <c r="I32" i="51"/>
  <c r="J32" i="51"/>
  <c r="K32" i="51"/>
  <c r="L32" i="51"/>
  <c r="I33" i="51"/>
  <c r="J33" i="51"/>
  <c r="K33" i="51"/>
  <c r="I34" i="51"/>
  <c r="J34" i="51"/>
  <c r="I35" i="51"/>
  <c r="C34" i="50"/>
  <c r="D34" i="50"/>
  <c r="E34" i="50"/>
  <c r="F34" i="50"/>
  <c r="F39" i="50" s="1"/>
  <c r="F40" i="50" s="1"/>
  <c r="D45" i="50" s="1"/>
  <c r="F45" i="50" s="1"/>
  <c r="G45" i="50" s="1"/>
  <c r="C35" i="50"/>
  <c r="D35" i="50"/>
  <c r="E35" i="50"/>
  <c r="C36" i="50"/>
  <c r="D36" i="50"/>
  <c r="C37" i="50"/>
  <c r="C44" i="50"/>
  <c r="D44" i="50"/>
  <c r="E44" i="50"/>
  <c r="C45" i="50"/>
  <c r="E45" i="50"/>
  <c r="C46" i="50"/>
  <c r="E46" i="50"/>
  <c r="C47" i="50"/>
  <c r="E47" i="50"/>
  <c r="C48" i="50"/>
  <c r="E48" i="50"/>
  <c r="C44" i="49"/>
  <c r="D44" i="49"/>
  <c r="E44" i="49"/>
  <c r="F44" i="49"/>
  <c r="F49" i="49" s="1"/>
  <c r="F50" i="49" s="1"/>
  <c r="C45" i="49"/>
  <c r="D45" i="49"/>
  <c r="E45" i="49"/>
  <c r="E49" i="49" s="1"/>
  <c r="C46" i="49"/>
  <c r="D46" i="49"/>
  <c r="C47" i="49"/>
  <c r="D55" i="49"/>
  <c r="D56" i="49"/>
  <c r="D57" i="49"/>
  <c r="D58" i="49"/>
  <c r="D59" i="49"/>
  <c r="J12" i="51" l="1"/>
  <c r="C39" i="50"/>
  <c r="D49" i="49"/>
  <c r="K12" i="51"/>
  <c r="K13" i="51" s="1"/>
  <c r="K14" i="51" s="1"/>
  <c r="K15" i="51" s="1"/>
  <c r="J23" i="51" s="1"/>
  <c r="K23" i="51" s="1"/>
  <c r="D39" i="50"/>
  <c r="C52" i="50"/>
  <c r="C49" i="49"/>
  <c r="E39" i="50"/>
  <c r="E40" i="50" s="1"/>
  <c r="D46" i="50" s="1"/>
  <c r="F46" i="50" s="1"/>
  <c r="G46" i="50" s="1"/>
  <c r="F44" i="50"/>
  <c r="G44" i="50" s="1"/>
  <c r="C53" i="50"/>
  <c r="E50" i="49"/>
  <c r="C55" i="49"/>
  <c r="E55" i="49" s="1"/>
  <c r="F55" i="49" s="1"/>
  <c r="C56" i="49"/>
  <c r="E56" i="49" s="1"/>
  <c r="F56" i="49" s="1"/>
  <c r="L14" i="51"/>
  <c r="L15" i="51" s="1"/>
  <c r="J22" i="51" s="1"/>
  <c r="K22" i="51" s="1"/>
  <c r="J13" i="51"/>
  <c r="C38" i="47"/>
  <c r="C37" i="47"/>
  <c r="C36" i="47"/>
  <c r="C34" i="47"/>
  <c r="C33" i="47"/>
  <c r="C32" i="47"/>
  <c r="K27" i="46"/>
  <c r="K26" i="46"/>
  <c r="K19" i="46"/>
  <c r="K18" i="46"/>
  <c r="K17" i="46"/>
  <c r="K20" i="46" s="1"/>
  <c r="K7" i="46"/>
  <c r="K11" i="46" s="1"/>
  <c r="I18" i="45"/>
  <c r="I17" i="45"/>
  <c r="I14" i="45"/>
  <c r="I11" i="45"/>
  <c r="I16" i="45" s="1"/>
  <c r="J5" i="45"/>
  <c r="J4" i="45"/>
  <c r="J3" i="45"/>
  <c r="J2" i="45"/>
  <c r="C40" i="50" l="1"/>
  <c r="D48" i="50" s="1"/>
  <c r="C56" i="50" s="1"/>
  <c r="C54" i="50"/>
  <c r="D40" i="50"/>
  <c r="D47" i="50" s="1"/>
  <c r="F47" i="50" s="1"/>
  <c r="G47" i="50" s="1"/>
  <c r="I6" i="45"/>
  <c r="J14" i="51"/>
  <c r="K22" i="46"/>
  <c r="K24" i="46" s="1"/>
  <c r="K29" i="46" s="1"/>
  <c r="C57" i="49"/>
  <c r="E57" i="49" s="1"/>
  <c r="F57" i="49" s="1"/>
  <c r="D50" i="49"/>
  <c r="F48" i="50"/>
  <c r="K12" i="46"/>
  <c r="I21" i="45"/>
  <c r="K9" i="46"/>
  <c r="K8" i="46"/>
  <c r="C55" i="50" l="1"/>
  <c r="K14" i="46"/>
  <c r="J15" i="51"/>
  <c r="J24" i="51" s="1"/>
  <c r="K24" i="51" s="1"/>
  <c r="C50" i="49"/>
  <c r="C58" i="49"/>
  <c r="E58" i="49" s="1"/>
  <c r="F58" i="49" s="1"/>
  <c r="G48" i="50"/>
  <c r="K3" i="43"/>
  <c r="K10" i="43" s="1"/>
  <c r="K11" i="43" s="1"/>
  <c r="C39" i="42"/>
  <c r="C34" i="42"/>
  <c r="C29" i="42"/>
  <c r="C22" i="42"/>
  <c r="C21" i="42"/>
  <c r="C40" i="42" s="1"/>
  <c r="C20" i="42"/>
  <c r="J2" i="41"/>
  <c r="J6" i="41" s="1"/>
  <c r="K6" i="41" s="1"/>
  <c r="C24" i="42" l="1"/>
  <c r="C26" i="42" s="1"/>
  <c r="C59" i="49"/>
  <c r="E59" i="49" s="1"/>
  <c r="F59" i="49" s="1"/>
  <c r="J4" i="41"/>
  <c r="J5" i="41"/>
  <c r="K5" i="41" s="1"/>
  <c r="K5" i="43"/>
  <c r="C35" i="42" l="1"/>
  <c r="C37" i="42" s="1"/>
  <c r="C30" i="42"/>
  <c r="C32" i="42" s="1"/>
  <c r="K6" i="43"/>
  <c r="K4" i="41"/>
  <c r="C36" i="37" l="1"/>
  <c r="F29" i="37" s="1"/>
  <c r="C32" i="37"/>
  <c r="E31" i="37"/>
  <c r="C31" i="37"/>
  <c r="E30" i="37"/>
  <c r="C30" i="37"/>
  <c r="E29" i="37"/>
  <c r="C29" i="37"/>
  <c r="F32" i="36"/>
  <c r="E32" i="36"/>
  <c r="D32" i="36"/>
  <c r="C32" i="36"/>
  <c r="J32" i="36" s="1"/>
  <c r="F31" i="36"/>
  <c r="E31" i="36"/>
  <c r="D31" i="36"/>
  <c r="C31" i="36"/>
  <c r="J31" i="36" s="1"/>
  <c r="F30" i="36"/>
  <c r="E30" i="36"/>
  <c r="D30" i="36"/>
  <c r="C30" i="36"/>
  <c r="J30" i="36" s="1"/>
  <c r="G32" i="36" l="1"/>
  <c r="D30" i="37"/>
  <c r="D29" i="37"/>
  <c r="G29" i="37" s="1"/>
  <c r="H29" i="37" s="1"/>
  <c r="D31" i="37"/>
  <c r="E33" i="36"/>
  <c r="G30" i="36"/>
  <c r="G31" i="36"/>
  <c r="C33" i="36"/>
  <c r="D33" i="36"/>
  <c r="F31" i="37"/>
  <c r="F30" i="37"/>
  <c r="G30" i="37" s="1"/>
  <c r="H30" i="37" l="1"/>
  <c r="G31" i="37"/>
  <c r="H31" i="37" s="1"/>
  <c r="J33" i="36"/>
  <c r="F33" i="36"/>
  <c r="G33" i="36"/>
  <c r="H30" i="36" s="1"/>
  <c r="H31" i="36"/>
  <c r="C39" i="37"/>
  <c r="F36" i="37" s="1"/>
  <c r="I30" i="37" s="1"/>
  <c r="C44" i="37" s="1"/>
  <c r="H33" i="36" l="1"/>
  <c r="H32" i="36"/>
  <c r="I33" i="36"/>
  <c r="I31" i="36"/>
  <c r="K31" i="36" s="1"/>
  <c r="I32" i="36"/>
  <c r="I30" i="36"/>
  <c r="K30" i="36" s="1"/>
  <c r="L30" i="36" s="1"/>
  <c r="I29" i="37"/>
  <c r="C43" i="37" s="1"/>
  <c r="I31" i="37"/>
  <c r="C45" i="37" s="1"/>
  <c r="L31" i="36" l="1"/>
  <c r="K32" i="36"/>
  <c r="L32" i="36" s="1"/>
  <c r="L33" i="36" s="1"/>
  <c r="M7" i="35"/>
  <c r="N7" i="35" s="1"/>
  <c r="K7" i="35"/>
  <c r="L7" i="35" s="1"/>
  <c r="M6" i="35"/>
  <c r="N6" i="35" s="1"/>
  <c r="K6" i="35"/>
  <c r="L6" i="35" s="1"/>
  <c r="D31" i="34"/>
  <c r="D37" i="34" s="1"/>
  <c r="C31" i="34"/>
  <c r="C43" i="34" s="1"/>
  <c r="D30" i="34"/>
  <c r="D36" i="34" s="1"/>
  <c r="C30" i="34"/>
  <c r="C36" i="34" s="1"/>
  <c r="K23" i="32"/>
  <c r="K28" i="32" s="1"/>
  <c r="K22" i="32"/>
  <c r="M22" i="32" s="1"/>
  <c r="L16" i="32"/>
  <c r="K16" i="32"/>
  <c r="L15" i="32"/>
  <c r="K15" i="32"/>
  <c r="K17" i="32" s="1"/>
  <c r="L10" i="32"/>
  <c r="K10" i="32"/>
  <c r="L9" i="32"/>
  <c r="K9" i="32"/>
  <c r="D38" i="34" l="1"/>
  <c r="D43" i="34"/>
  <c r="L11" i="32"/>
  <c r="N8" i="35"/>
  <c r="M9" i="32"/>
  <c r="M15" i="32"/>
  <c r="M16" i="32"/>
  <c r="M10" i="32"/>
  <c r="C42" i="34"/>
  <c r="C44" i="34" s="1"/>
  <c r="L8" i="35"/>
  <c r="C37" i="34"/>
  <c r="C38" i="34" s="1"/>
  <c r="L35" i="36"/>
  <c r="L28" i="32"/>
  <c r="M28" i="32"/>
  <c r="L23" i="32"/>
  <c r="L17" i="32"/>
  <c r="M23" i="32"/>
  <c r="M24" i="32" s="1"/>
  <c r="D42" i="34"/>
  <c r="D44" i="34" s="1"/>
  <c r="D46" i="34" s="1"/>
  <c r="D48" i="34" s="1"/>
  <c r="L22" i="32"/>
  <c r="K11" i="32"/>
  <c r="K29" i="32"/>
  <c r="M11" i="32" l="1"/>
  <c r="M17" i="32"/>
  <c r="N23" i="32"/>
  <c r="C46" i="34"/>
  <c r="C48" i="34" s="1"/>
  <c r="M30" i="36"/>
  <c r="M32" i="36"/>
  <c r="M31" i="36"/>
  <c r="M33" i="36"/>
  <c r="N22" i="32"/>
  <c r="L24" i="32"/>
  <c r="M29" i="32"/>
  <c r="M30" i="32" s="1"/>
  <c r="L29" i="32"/>
  <c r="N28" i="32"/>
  <c r="O19" i="22"/>
  <c r="O18" i="22"/>
  <c r="P17" i="22"/>
  <c r="R17" i="22" s="1"/>
  <c r="O17" i="22"/>
  <c r="O12" i="22"/>
  <c r="O11" i="22"/>
  <c r="P10" i="22"/>
  <c r="R10" i="22" s="1"/>
  <c r="O10" i="22"/>
  <c r="Q10" i="22" l="1"/>
  <c r="P11" i="22"/>
  <c r="P12" i="22" s="1"/>
  <c r="R12" i="22" s="1"/>
  <c r="N29" i="32"/>
  <c r="N30" i="32" s="1"/>
  <c r="P18" i="22"/>
  <c r="P19" i="22" s="1"/>
  <c r="R19" i="22" s="1"/>
  <c r="Q11" i="22"/>
  <c r="N24" i="32"/>
  <c r="L30" i="32"/>
  <c r="Q12" i="22"/>
  <c r="Q13" i="22" s="1"/>
  <c r="R11" i="22"/>
  <c r="R13" i="22" s="1"/>
  <c r="Q17" i="22"/>
  <c r="Q19" i="22" l="1"/>
  <c r="R18" i="22"/>
  <c r="R20" i="22" s="1"/>
  <c r="Q18" i="22"/>
  <c r="R15" i="22"/>
  <c r="Q20" i="22" l="1"/>
  <c r="R22" i="22" s="1"/>
  <c r="H68" i="21"/>
  <c r="D68" i="21"/>
  <c r="H67" i="21"/>
  <c r="D67" i="21"/>
  <c r="H66" i="21"/>
  <c r="D66" i="21"/>
  <c r="C50" i="21"/>
  <c r="E49" i="21"/>
  <c r="E51" i="21" s="1"/>
  <c r="E52" i="21" s="1"/>
  <c r="D49" i="21"/>
  <c r="D51" i="21" s="1"/>
  <c r="C49" i="21"/>
  <c r="J45" i="21"/>
  <c r="I45" i="21"/>
  <c r="E45" i="21"/>
  <c r="D45" i="21"/>
  <c r="C68" i="21" s="1"/>
  <c r="E68" i="21" s="1"/>
  <c r="J44" i="21"/>
  <c r="I44" i="21"/>
  <c r="E44" i="21"/>
  <c r="D44" i="21"/>
  <c r="J43" i="21"/>
  <c r="I43" i="21"/>
  <c r="E43" i="21"/>
  <c r="D43" i="21"/>
  <c r="R38" i="20"/>
  <c r="R39" i="20" s="1"/>
  <c r="Q39" i="20" s="1"/>
  <c r="M38" i="20"/>
  <c r="M39" i="20" s="1"/>
  <c r="Q37" i="20"/>
  <c r="M31" i="20"/>
  <c r="M32" i="20" s="1"/>
  <c r="U24" i="20"/>
  <c r="R24" i="20"/>
  <c r="S24" i="20" s="1"/>
  <c r="Q24" i="20"/>
  <c r="U23" i="20"/>
  <c r="R23" i="20"/>
  <c r="S23" i="20" s="1"/>
  <c r="Q23" i="20"/>
  <c r="P23" i="20"/>
  <c r="U22" i="20"/>
  <c r="S22" i="20"/>
  <c r="Q22" i="20"/>
  <c r="P22" i="20"/>
  <c r="P17" i="20"/>
  <c r="P18" i="20" s="1"/>
  <c r="O22" i="20" s="1"/>
  <c r="X22" i="20" s="1"/>
  <c r="N10" i="20"/>
  <c r="N24" i="20" s="1"/>
  <c r="O9" i="20"/>
  <c r="N9" i="20"/>
  <c r="P8" i="20"/>
  <c r="N22" i="20" s="1"/>
  <c r="O8" i="20"/>
  <c r="N8" i="20"/>
  <c r="E92" i="19"/>
  <c r="C92" i="19"/>
  <c r="E91" i="19"/>
  <c r="C91" i="19"/>
  <c r="E90" i="19"/>
  <c r="C90" i="19"/>
  <c r="B75" i="19"/>
  <c r="B74" i="19"/>
  <c r="B73" i="19"/>
  <c r="D72" i="19"/>
  <c r="C72" i="19"/>
  <c r="B72" i="19"/>
  <c r="C71" i="19"/>
  <c r="D66" i="19"/>
  <c r="D65" i="19" s="1"/>
  <c r="D67" i="19" s="1"/>
  <c r="D61" i="19" s="1"/>
  <c r="B66" i="19"/>
  <c r="E65" i="19"/>
  <c r="E66" i="19" s="1"/>
  <c r="C65" i="19"/>
  <c r="E61" i="19"/>
  <c r="E60" i="19"/>
  <c r="C55" i="19"/>
  <c r="C75" i="19" s="1"/>
  <c r="C54" i="19"/>
  <c r="C74" i="19" s="1"/>
  <c r="C53" i="19"/>
  <c r="C73" i="19" s="1"/>
  <c r="H47" i="19"/>
  <c r="J46" i="19"/>
  <c r="J48" i="19" s="1"/>
  <c r="J49" i="19" s="1"/>
  <c r="J50" i="19" s="1"/>
  <c r="I46" i="19"/>
  <c r="I48" i="19" s="1"/>
  <c r="H46" i="19"/>
  <c r="C51" i="21" l="1"/>
  <c r="C52" i="21" s="1"/>
  <c r="Q38" i="20"/>
  <c r="K45" i="21"/>
  <c r="T24" i="20"/>
  <c r="W24" i="20" s="1"/>
  <c r="N14" i="20"/>
  <c r="D52" i="21"/>
  <c r="T23" i="20"/>
  <c r="O38" i="20" s="1"/>
  <c r="E67" i="19"/>
  <c r="D62" i="19" s="1"/>
  <c r="H48" i="19"/>
  <c r="H49" i="19" s="1"/>
  <c r="H50" i="19" s="1"/>
  <c r="K43" i="21"/>
  <c r="F44" i="21"/>
  <c r="C67" i="21"/>
  <c r="E67" i="21" s="1"/>
  <c r="K44" i="21"/>
  <c r="F43" i="21"/>
  <c r="G43" i="21" s="1"/>
  <c r="N15" i="20"/>
  <c r="N17" i="20" s="1"/>
  <c r="T22" i="20"/>
  <c r="W22" i="20" s="1"/>
  <c r="N23" i="20"/>
  <c r="O14" i="20"/>
  <c r="O17" i="20" s="1"/>
  <c r="O18" i="20" s="1"/>
  <c r="O23" i="20" s="1"/>
  <c r="X23" i="20" s="1"/>
  <c r="I49" i="19"/>
  <c r="I50" i="19" s="1"/>
  <c r="C67" i="19"/>
  <c r="D60" i="19" s="1"/>
  <c r="F60" i="19" s="1"/>
  <c r="D73" i="19" s="1"/>
  <c r="E73" i="19" s="1"/>
  <c r="V22" i="20"/>
  <c r="O39" i="20"/>
  <c r="G44" i="21"/>
  <c r="V24" i="20"/>
  <c r="F91" i="19"/>
  <c r="F61" i="19"/>
  <c r="D74" i="19" s="1"/>
  <c r="W23" i="20"/>
  <c r="C66" i="21"/>
  <c r="E66" i="21" s="1"/>
  <c r="V23" i="20"/>
  <c r="C76" i="19"/>
  <c r="F45" i="21"/>
  <c r="N18" i="20" l="1"/>
  <c r="O24" i="20" s="1"/>
  <c r="X24" i="20" s="1"/>
  <c r="O37" i="20"/>
  <c r="E74" i="19"/>
  <c r="F74" i="19" s="1"/>
  <c r="W26" i="20"/>
  <c r="Y24" i="20" s="1"/>
  <c r="Y23" i="20" s="1"/>
  <c r="Y22" i="20" s="1"/>
  <c r="G45" i="21"/>
  <c r="F73" i="19"/>
  <c r="F62" i="19"/>
  <c r="F92" i="19"/>
  <c r="F90" i="19"/>
  <c r="Z23" i="20" l="1"/>
  <c r="N31" i="20" s="1"/>
  <c r="N38" i="20" s="1"/>
  <c r="P38" i="20" s="1"/>
  <c r="S38" i="20" s="1"/>
  <c r="Z24" i="20"/>
  <c r="N32" i="20" s="1"/>
  <c r="N39" i="20" s="1"/>
  <c r="P39" i="20" s="1"/>
  <c r="S39" i="20" s="1"/>
  <c r="D75" i="19"/>
  <c r="E75" i="19" s="1"/>
  <c r="Z22" i="20"/>
  <c r="N30" i="20" s="1"/>
  <c r="N37" i="20" s="1"/>
  <c r="P37" i="20" s="1"/>
  <c r="S37" i="20" s="1"/>
  <c r="S43" i="20" s="1"/>
  <c r="S44" i="20" s="1"/>
  <c r="S45" i="20" s="1"/>
  <c r="F93" i="19"/>
  <c r="I52" i="21"/>
  <c r="F75" i="19" l="1"/>
  <c r="E76" i="19"/>
  <c r="F76" i="19" s="1"/>
  <c r="I51" i="21"/>
  <c r="C58" i="21"/>
  <c r="G68" i="21" s="1"/>
  <c r="I68" i="21" s="1"/>
  <c r="K68" i="21" s="1"/>
  <c r="G73" i="19" l="1"/>
  <c r="G75" i="19"/>
  <c r="C83" i="19" s="1"/>
  <c r="D92" i="19" s="1"/>
  <c r="G92" i="19" s="1"/>
  <c r="G74" i="19"/>
  <c r="C82" i="19" s="1"/>
  <c r="D91" i="19" s="1"/>
  <c r="G91" i="19" s="1"/>
  <c r="C57" i="21"/>
  <c r="G67" i="21" s="1"/>
  <c r="I67" i="21" s="1"/>
  <c r="K67" i="21" s="1"/>
  <c r="I50" i="21"/>
  <c r="C81" i="19" l="1"/>
  <c r="C56" i="21"/>
  <c r="G66" i="21" s="1"/>
  <c r="I66" i="21" s="1"/>
  <c r="K66" i="21" s="1"/>
  <c r="K70" i="21" s="1"/>
  <c r="C71" i="21" s="1"/>
  <c r="C84" i="19" l="1"/>
  <c r="D90" i="19"/>
  <c r="G90" i="19" l="1"/>
  <c r="D93" i="19"/>
  <c r="G93" i="19" s="1"/>
  <c r="D96" i="19" s="1"/>
  <c r="C34" i="18" l="1"/>
  <c r="E32" i="18"/>
  <c r="E31" i="18"/>
  <c r="D31" i="18"/>
  <c r="E30" i="18"/>
  <c r="D30" i="18"/>
  <c r="E29" i="18"/>
  <c r="E33" i="18" s="1"/>
  <c r="D29" i="18"/>
  <c r="E27" i="17"/>
  <c r="D27" i="17"/>
  <c r="E26" i="17"/>
  <c r="D26" i="17"/>
  <c r="E25" i="17"/>
  <c r="D25" i="17"/>
  <c r="E24" i="17"/>
  <c r="D24" i="17"/>
  <c r="C24" i="16"/>
  <c r="C23" i="16"/>
  <c r="D28" i="17" l="1"/>
  <c r="B31" i="17" s="1"/>
  <c r="C26" i="16"/>
  <c r="C35" i="18"/>
  <c r="C93" i="15"/>
  <c r="C92" i="15"/>
  <c r="C91" i="15"/>
  <c r="C86" i="15"/>
  <c r="C85" i="15"/>
  <c r="C84" i="15"/>
  <c r="C77" i="15"/>
  <c r="D76" i="15"/>
  <c r="C76" i="15"/>
  <c r="E75" i="15"/>
  <c r="D75" i="15"/>
  <c r="C75" i="15"/>
  <c r="F74" i="15"/>
  <c r="E74" i="15"/>
  <c r="D74" i="15"/>
  <c r="C74" i="15"/>
  <c r="G73" i="15"/>
  <c r="F73" i="15"/>
  <c r="E73" i="15"/>
  <c r="D73" i="15"/>
  <c r="C73" i="15"/>
  <c r="G72" i="15"/>
  <c r="F72" i="15"/>
  <c r="E72" i="15"/>
  <c r="D72" i="15"/>
  <c r="C72" i="15"/>
  <c r="G71" i="15"/>
  <c r="F71" i="15"/>
  <c r="E71" i="15"/>
  <c r="D71" i="15"/>
  <c r="C71" i="15"/>
  <c r="C55" i="15"/>
  <c r="D54" i="15"/>
  <c r="C54" i="15"/>
  <c r="E53" i="15"/>
  <c r="D53" i="15"/>
  <c r="C53" i="15"/>
  <c r="F52" i="15"/>
  <c r="E52" i="15"/>
  <c r="D52" i="15"/>
  <c r="C52" i="15"/>
  <c r="G51" i="15"/>
  <c r="F51" i="15"/>
  <c r="E51" i="15"/>
  <c r="D51" i="15"/>
  <c r="C51" i="15"/>
  <c r="H50" i="15"/>
  <c r="G50" i="15"/>
  <c r="F50" i="15"/>
  <c r="E50" i="15"/>
  <c r="D50" i="15"/>
  <c r="C50" i="15"/>
  <c r="H49" i="15"/>
  <c r="G49" i="15"/>
  <c r="F49" i="15"/>
  <c r="E49" i="15"/>
  <c r="D49" i="15"/>
  <c r="C49" i="15"/>
  <c r="H48" i="15"/>
  <c r="G48" i="15"/>
  <c r="F48" i="15"/>
  <c r="E48" i="15"/>
  <c r="D48" i="15"/>
  <c r="C48" i="15"/>
  <c r="C70" i="14"/>
  <c r="D69" i="14"/>
  <c r="C69" i="14"/>
  <c r="E68" i="14"/>
  <c r="D68" i="14"/>
  <c r="C68" i="14"/>
  <c r="F67" i="14"/>
  <c r="F85" i="14" s="1"/>
  <c r="I85" i="14" s="1"/>
  <c r="E67" i="14"/>
  <c r="E85" i="14" s="1"/>
  <c r="D67" i="14"/>
  <c r="D85" i="14" s="1"/>
  <c r="C67" i="14"/>
  <c r="C85" i="14" s="1"/>
  <c r="G66" i="14"/>
  <c r="G84" i="14" s="1"/>
  <c r="I84" i="14" s="1"/>
  <c r="F66" i="14"/>
  <c r="F84" i="14" s="1"/>
  <c r="E66" i="14"/>
  <c r="E84" i="14" s="1"/>
  <c r="D66" i="14"/>
  <c r="D84" i="14" s="1"/>
  <c r="C66" i="14"/>
  <c r="C84" i="14" s="1"/>
  <c r="H65" i="14"/>
  <c r="H83" i="14" s="1"/>
  <c r="I83" i="14" s="1"/>
  <c r="G65" i="14"/>
  <c r="G83" i="14" s="1"/>
  <c r="F65" i="14"/>
  <c r="F83" i="14" s="1"/>
  <c r="E65" i="14"/>
  <c r="E83" i="14" s="1"/>
  <c r="D65" i="14"/>
  <c r="D83" i="14" s="1"/>
  <c r="C65" i="14"/>
  <c r="C83" i="14" s="1"/>
  <c r="H64" i="14"/>
  <c r="H82" i="14" s="1"/>
  <c r="I82" i="14" s="1"/>
  <c r="G64" i="14"/>
  <c r="G82" i="14" s="1"/>
  <c r="F64" i="14"/>
  <c r="F82" i="14" s="1"/>
  <c r="E64" i="14"/>
  <c r="E82" i="14" s="1"/>
  <c r="D64" i="14"/>
  <c r="D82" i="14" s="1"/>
  <c r="C64" i="14"/>
  <c r="C82" i="14" s="1"/>
  <c r="H63" i="14"/>
  <c r="H81" i="14" s="1"/>
  <c r="I81" i="14" s="1"/>
  <c r="G63" i="14"/>
  <c r="G81" i="14" s="1"/>
  <c r="F63" i="14"/>
  <c r="F81" i="14" s="1"/>
  <c r="E63" i="14"/>
  <c r="E81" i="14" s="1"/>
  <c r="D63" i="14"/>
  <c r="D81" i="14" s="1"/>
  <c r="C63" i="14"/>
  <c r="C81" i="14" s="1"/>
  <c r="C55" i="14"/>
  <c r="D54" i="14"/>
  <c r="C54" i="14"/>
  <c r="E53" i="14"/>
  <c r="D53" i="14"/>
  <c r="C53" i="14"/>
  <c r="F52" i="14"/>
  <c r="E52" i="14"/>
  <c r="D52" i="14"/>
  <c r="C52" i="14"/>
  <c r="G51" i="14"/>
  <c r="F51" i="14"/>
  <c r="E51" i="14"/>
  <c r="D51" i="14"/>
  <c r="C51" i="14"/>
  <c r="H50" i="14"/>
  <c r="G50" i="14"/>
  <c r="F50" i="14"/>
  <c r="E50" i="14"/>
  <c r="D50" i="14"/>
  <c r="C50" i="14"/>
  <c r="H49" i="14"/>
  <c r="G49" i="14"/>
  <c r="F49" i="14"/>
  <c r="E49" i="14"/>
  <c r="D49" i="14"/>
  <c r="C49" i="14"/>
  <c r="H48" i="14"/>
  <c r="G48" i="14"/>
  <c r="F48" i="14"/>
  <c r="E48" i="14"/>
  <c r="D48" i="14"/>
  <c r="C48" i="14"/>
  <c r="G80" i="15" l="1"/>
  <c r="G81" i="15" s="1"/>
  <c r="C87" i="15" s="1"/>
  <c r="C94" i="15" s="1"/>
  <c r="C80" i="15"/>
  <c r="B58" i="15"/>
  <c r="D80" i="15"/>
  <c r="B63" i="15"/>
  <c r="E80" i="15"/>
  <c r="F80" i="15"/>
  <c r="F81" i="15" s="1"/>
  <c r="C88" i="15" s="1"/>
  <c r="C95" i="15" s="1"/>
  <c r="C97" i="15" s="1"/>
  <c r="B58" i="14"/>
  <c r="B73" i="14"/>
  <c r="D89" i="14"/>
  <c r="C92" i="14" s="1"/>
  <c r="E81" i="15" l="1"/>
  <c r="D81" i="15" s="1"/>
  <c r="C81" i="15" s="1"/>
  <c r="C32" i="6" l="1"/>
  <c r="C29" i="6"/>
  <c r="C27" i="6"/>
  <c r="C28" i="5"/>
  <c r="C26" i="5"/>
  <c r="C27" i="5" s="1"/>
  <c r="C34" i="6" l="1"/>
  <c r="C29" i="5"/>
  <c r="C36" i="6"/>
  <c r="L9" i="4" l="1"/>
  <c r="L6" i="4"/>
  <c r="L3" i="4"/>
  <c r="E27" i="2" l="1"/>
  <c r="E25" i="2"/>
  <c r="M14" i="1" l="1"/>
  <c r="M11" i="1"/>
</calcChain>
</file>

<file path=xl/sharedStrings.xml><?xml version="1.0" encoding="utf-8"?>
<sst xmlns="http://schemas.openxmlformats.org/spreadsheetml/2006/main" count="3133" uniqueCount="1252">
  <si>
    <t>a.</t>
  </si>
  <si>
    <t>b.</t>
  </si>
  <si>
    <t>c.</t>
  </si>
  <si>
    <t>d.</t>
  </si>
  <si>
    <t>Points</t>
  </si>
  <si>
    <t>Given the following for an insurance company:</t>
  </si>
  <si>
    <t xml:space="preserve">•    The exposure base is number of occupants in the home per year. </t>
  </si>
  <si>
    <t xml:space="preserve">•    The company writes a one-year homeowners policy effective April 1, 2017 for a home with four occupants. </t>
  </si>
  <si>
    <t>•    On October 1, 2017, two occupants leave the home, and the home has only two occupants for the remainder</t>
  </si>
  <si>
    <t xml:space="preserve">     of the policy term.</t>
  </si>
  <si>
    <t xml:space="preserve">a. </t>
  </si>
  <si>
    <t xml:space="preserve"> Calculate the total written exposures for calendar year 2017.  </t>
  </si>
  <si>
    <t>Calculate the total earned exposures for calendar year 2017.</t>
  </si>
  <si>
    <t>Calculate the total policy year 2017 written exposures evaluated as of September 30, 2017.</t>
  </si>
  <si>
    <t xml:space="preserve">d. </t>
  </si>
  <si>
    <t>Briefly evaluate the number of occupants based on the three criteria of an exposure base.</t>
  </si>
  <si>
    <t>i.</t>
  </si>
  <si>
    <t>Proportional to expected loss - we would not expect to have half as many losses on a HO policy because two people moved out. Not good for this one.</t>
  </si>
  <si>
    <t>ii.</t>
  </si>
  <si>
    <t>Practical - Number of people is objective, but it might not be easy to verify. The insured could manipulate # of occuants reported. Not Good.</t>
  </si>
  <si>
    <t>iii.</t>
  </si>
  <si>
    <t>Considers historical precedence -(assuming this has been the base all along) changing now might cause large premium swings</t>
  </si>
  <si>
    <t>and result in costly changes to computer algorithms and require changes to actuarial analysis. But House-years is typical</t>
  </si>
  <si>
    <t>and would be better.</t>
  </si>
  <si>
    <t>CY 2017 Written Exposures</t>
  </si>
  <si>
    <t xml:space="preserve">b. </t>
  </si>
  <si>
    <t>CY 2017 Earned Exposures</t>
  </si>
  <si>
    <t xml:space="preserve">c. </t>
  </si>
  <si>
    <t>PY 2017 Written Exposures as of 9.30.17</t>
  </si>
  <si>
    <t>Directly proportional to the expected loss - This is somewhat proportional to the expected value of future loss because the more people in a home</t>
  </si>
  <si>
    <t xml:space="preserve"> the more likely that an accident can occur like starting a fire etc that could cause a loss, </t>
  </si>
  <si>
    <t xml:space="preserve">However, there are a lot of other things that contribute to loss, like location, buildiing material etc. So I do </t>
  </si>
  <si>
    <t>not believe it is directly proportional</t>
  </si>
  <si>
    <t>Practical - this is an objective measure because it is clearly defined and measurable, the data will likely not be too hard to obtain</t>
  </si>
  <si>
    <t>but verifying how many people are living in a home over the course of the policy term may be hard - insureds</t>
  </si>
  <si>
    <t>may be likely not to report when more people have moved in</t>
  </si>
  <si>
    <t>Considerate of historical precedence - this is not considerate of historical precedence because house - year are commonly used</t>
  </si>
  <si>
    <t>so changing the rating to account for this change in exposure base could be costly, and could cause large premium</t>
  </si>
  <si>
    <t xml:space="preserve">swings for insureds. </t>
  </si>
  <si>
    <t>Part a</t>
  </si>
  <si>
    <t>Part b</t>
  </si>
  <si>
    <t>Part c</t>
  </si>
  <si>
    <t>Part d</t>
  </si>
  <si>
    <t>1 exposure=1 occupant</t>
  </si>
  <si>
    <t>A good exposure base should be proportional to expected losses. Number of occupants</t>
  </si>
  <si>
    <t>in the home wouldn't be directly proportional to losses from weather related perils, although</t>
  </si>
  <si>
    <t xml:space="preserve">loss potential could increase for some of the non-weather perils. </t>
  </si>
  <si>
    <t>A good exposure base should be practical meaning it is objective and easy and inexpensive</t>
  </si>
  <si>
    <t xml:space="preserve">to obtain and verify the information.The insurer would have to rely on the insured to </t>
  </si>
  <si>
    <t>tell them how many occupants are living in the home and different insureds may have</t>
  </si>
  <si>
    <t>different definitions as to what constitutes as "living" in the home (ie: is a long term guest</t>
  </si>
  <si>
    <t>an occupant?). Therefore, does not fulfill this criteria.</t>
  </si>
  <si>
    <t>A good base should also have historical precedent. It sounds like number of occupants may be the historical base for this company,</t>
  </si>
  <si>
    <t>but traditionally in the industry number of house years is used. Since # of occupants is the base for this</t>
  </si>
  <si>
    <t>company though, it could be okay since won't need to switch IT systems or restate analysis.</t>
  </si>
  <si>
    <t>Based on the above, I don’t believe number of occupants is a good exposure base because it is not</t>
  </si>
  <si>
    <t>practical and isn't directly proportional to weather losses.</t>
  </si>
  <si>
    <t>Given the following information:</t>
  </si>
  <si>
    <t>Current Rate Review</t>
  </si>
  <si>
    <t>Number of Observations</t>
  </si>
  <si>
    <t>Indicated Average Premium before credibility</t>
  </si>
  <si>
    <t>Expected Value of Process Variance</t>
  </si>
  <si>
    <t>Variance of Hypothetical Means</t>
  </si>
  <si>
    <t>Annual Loss Trend</t>
  </si>
  <si>
    <t>Target Effective Date</t>
  </si>
  <si>
    <t>July 1, 2018</t>
  </si>
  <si>
    <t>Current Average Premium at Present Rates</t>
  </si>
  <si>
    <t>Prior Rate Review</t>
  </si>
  <si>
    <t>Indicated Rate Change</t>
  </si>
  <si>
    <t>Implemented Rate Change</t>
  </si>
  <si>
    <t>Effective Date of Indication</t>
  </si>
  <si>
    <t>July 1, 2016</t>
  </si>
  <si>
    <t>Actual Effective Date</t>
  </si>
  <si>
    <t>September 1, 2016</t>
  </si>
  <si>
    <t>•    The complement of credibility is trended present rates.</t>
  </si>
  <si>
    <t>Calculate the credibility-weighted indicated premium using Buhlmann credibility.</t>
  </si>
  <si>
    <t>K:</t>
  </si>
  <si>
    <t>Z:</t>
  </si>
  <si>
    <t>Complement:</t>
  </si>
  <si>
    <t>Cred Wtd Ind Prem:</t>
  </si>
  <si>
    <t>indicated rate change</t>
  </si>
  <si>
    <t>complement</t>
  </si>
  <si>
    <t>(Trend from 07/01/2016 to 07/01/2018)</t>
  </si>
  <si>
    <t>Credibility</t>
  </si>
  <si>
    <t>Credibility weighted rate change</t>
  </si>
  <si>
    <t>Credibility weighted indicated premium</t>
  </si>
  <si>
    <t>Loss Peril</t>
  </si>
  <si>
    <t>Fire</t>
  </si>
  <si>
    <t>Flood</t>
  </si>
  <si>
    <t>Other</t>
  </si>
  <si>
    <t>Accident Year</t>
  </si>
  <si>
    <t>Claim Counts</t>
  </si>
  <si>
    <t>Ground-Up Losses ($)</t>
  </si>
  <si>
    <t>Lim @500K</t>
  </si>
  <si>
    <t>Year</t>
  </si>
  <si>
    <t>Losses xCAT</t>
  </si>
  <si>
    <t>ELF Factor =</t>
  </si>
  <si>
    <t>assume the only cat losses are the 2 given</t>
  </si>
  <si>
    <t>total cat losses</t>
  </si>
  <si>
    <t>going to remove all cat lossses plus the amounts of the other losses exceeding the 500 K threshold and use that to determine an xs factor for both cat and non-cat losses</t>
  </si>
  <si>
    <t>total losses</t>
  </si>
  <si>
    <t>cat to remove</t>
  </si>
  <si>
    <t>xs non cat</t>
  </si>
  <si>
    <t>total xs losses</t>
  </si>
  <si>
    <t>xs to non xs</t>
  </si>
  <si>
    <t>xs loss factor (incl cat</t>
  </si>
  <si>
    <t>Groud-Up Losses</t>
  </si>
  <si>
    <t>A)</t>
  </si>
  <si>
    <t>Below 500K</t>
  </si>
  <si>
    <t>500K+</t>
  </si>
  <si>
    <t>Cat</t>
  </si>
  <si>
    <t>LAS @ 500K</t>
  </si>
  <si>
    <t>LAS@500K+</t>
  </si>
  <si>
    <t>P(Loss&gt;500K)</t>
  </si>
  <si>
    <t>Excess loss factor</t>
  </si>
  <si>
    <t>to spread impact of large losses across several years, which will avoid volatility in rates</t>
  </si>
  <si>
    <t>Given the following information for a medical association:</t>
  </si>
  <si>
    <t>Accident</t>
  </si>
  <si>
    <t>Cumulative Reported Claim Counts Evaluated as of Month:</t>
  </si>
  <si>
    <t>Claims-Made Year</t>
  </si>
  <si>
    <t>Step Factor</t>
  </si>
  <si>
    <t>First</t>
  </si>
  <si>
    <t>Second</t>
  </si>
  <si>
    <t>Third</t>
  </si>
  <si>
    <t xml:space="preserve">Fourth </t>
  </si>
  <si>
    <t>Fifth</t>
  </si>
  <si>
    <t>Six and more</t>
  </si>
  <si>
    <t xml:space="preserve">•    The medical association had claims-made policy coverages up until December 31, 2014. </t>
  </si>
  <si>
    <t>•    The claims-made policies have a retroactive date of January 1, 2010.</t>
  </si>
  <si>
    <t>•    The medical association switches to occurrence policies on January 1, 2015.</t>
  </si>
  <si>
    <t>•    All policies are annual.</t>
  </si>
  <si>
    <t>•    All policies incept January 1.</t>
  </si>
  <si>
    <t>Calculate the total reported claim counts covered under claims-made policies.</t>
  </si>
  <si>
    <t>Calculate the total reported claim counts covered under occurrence policies.</t>
  </si>
  <si>
    <t>Briefly describe the coverage gap and calculate the estimated number of ultimate claims falling in the</t>
  </si>
  <si>
    <t>gap for the medical association.</t>
  </si>
  <si>
    <t>Briefly describe a solution for the medical association to address the coverage gap in part c. above.</t>
  </si>
  <si>
    <t>Total reported claim count covered under CM</t>
  </si>
  <si>
    <t>Total reported claim count covered under OCC</t>
  </si>
  <si>
    <t>Description of coverage gap:</t>
  </si>
  <si>
    <r>
      <t>The gap is for claims that occurred during the CM policies coverage (Jan 1</t>
    </r>
    <r>
      <rPr>
        <vertAlign val="superscript"/>
        <sz val="11.5"/>
        <color theme="1"/>
        <rFont val="Calibri"/>
        <family val="2"/>
        <scheme val="minor"/>
      </rPr>
      <t>st</t>
    </r>
    <r>
      <rPr>
        <sz val="11.5"/>
        <color theme="1"/>
        <rFont val="Calibri"/>
        <family val="2"/>
        <scheme val="minor"/>
      </rPr>
      <t>, 2010 to Dec 31</t>
    </r>
    <r>
      <rPr>
        <vertAlign val="superscript"/>
        <sz val="11.5"/>
        <color theme="1"/>
        <rFont val="Calibri"/>
        <family val="2"/>
        <scheme val="minor"/>
      </rPr>
      <t>st</t>
    </r>
    <r>
      <rPr>
        <sz val="11.5"/>
        <color theme="1"/>
        <rFont val="Calibri"/>
        <family val="2"/>
        <scheme val="minor"/>
      </rPr>
      <t>, 2014) but were only reported during the OCC policies coverage (after Jan 1</t>
    </r>
    <r>
      <rPr>
        <vertAlign val="superscript"/>
        <sz val="11.5"/>
        <color theme="1"/>
        <rFont val="Calibri"/>
        <family val="2"/>
        <scheme val="minor"/>
      </rPr>
      <t>st</t>
    </r>
    <r>
      <rPr>
        <sz val="11.5"/>
        <color theme="1"/>
        <rFont val="Calibri"/>
        <family val="2"/>
        <scheme val="minor"/>
      </rPr>
      <t>, 2015).</t>
    </r>
  </si>
  <si>
    <t>Ultimates</t>
  </si>
  <si>
    <t>No development after 72 mths according to the step factors</t>
  </si>
  <si>
    <t xml:space="preserve">Total AYs 2010-2014 ultimate = </t>
  </si>
  <si>
    <t>Ultimate claims not covered = Total AYs 2010-2014 Ultimate – Claims covered under CM</t>
  </si>
  <si>
    <t>Purchase a tail policy.</t>
  </si>
  <si>
    <t>Incremental Reported Claim Counts:</t>
  </si>
  <si>
    <t>Coverage is not provided for any claims which occurred in 2010 through 2014 but were not reported until after 2014/12/31</t>
  </si>
  <si>
    <t>Using Claim count triangle to derive age-to-age LDFs</t>
  </si>
  <si>
    <t>12-24</t>
  </si>
  <si>
    <t>24-36</t>
  </si>
  <si>
    <t>36-48</t>
  </si>
  <si>
    <t>48-60</t>
  </si>
  <si>
    <t>60-72</t>
  </si>
  <si>
    <t>LDF</t>
  </si>
  <si>
    <t>CDF</t>
  </si>
  <si>
    <t>Ultimate claim counts</t>
  </si>
  <si>
    <t>Number of claims without coverage</t>
  </si>
  <si>
    <t xml:space="preserve"> </t>
  </si>
  <si>
    <t>Total:</t>
  </si>
  <si>
    <t>Could purchase an extended reporting endorsement.</t>
  </si>
  <si>
    <t>Underwriting profit provision</t>
  </si>
  <si>
    <t>Expenses ($000)</t>
  </si>
  <si>
    <t>% Fixed</t>
  </si>
  <si>
    <t>Countrywide General Expenses</t>
  </si>
  <si>
    <t>Countrywide Other Acquisition Expenses</t>
  </si>
  <si>
    <t>State Tax, Licenses &amp; Fees</t>
  </si>
  <si>
    <t>State Commission &amp; Brokerage</t>
  </si>
  <si>
    <t>Countrywide</t>
  </si>
  <si>
    <t>State</t>
  </si>
  <si>
    <t>Earned Premium ($000)</t>
  </si>
  <si>
    <t>Written Premium ($000)</t>
  </si>
  <si>
    <t>Earned Exposures</t>
  </si>
  <si>
    <t>Written Exposures</t>
  </si>
  <si>
    <t>Calculate the fixed expense fee per exposure.</t>
  </si>
  <si>
    <t>fixed expense</t>
  </si>
  <si>
    <t>variable expense %</t>
  </si>
  <si>
    <t>fixed fee / exposure</t>
  </si>
  <si>
    <t>Fixed per exposure</t>
  </si>
  <si>
    <t>Variable</t>
  </si>
  <si>
    <t>General Expenses</t>
  </si>
  <si>
    <t>Other Acquisition</t>
  </si>
  <si>
    <t>Tax, License and Fees</t>
  </si>
  <si>
    <t>Commission and Brokerage</t>
  </si>
  <si>
    <t>Fixed expense fee per exposure</t>
  </si>
  <si>
    <t>I'll relate general expesnes to earned premium (occur throughout the policy period) and the rest of the expenses to written premium</t>
  </si>
  <si>
    <t>General and Other Acquisition expenses are on a countrywide level so I'll relate those to CW premium and the others to State Premium</t>
  </si>
  <si>
    <t>I'll also need to calculate the variable expense ratio so I can adjust the fixed expense fee for profit/variable expenses</t>
  </si>
  <si>
    <t>Fixed Expenses (ratio)</t>
  </si>
  <si>
    <t>Variable Expenses (ratio)</t>
  </si>
  <si>
    <t>Total Variable Expense Ratio</t>
  </si>
  <si>
    <t>Fixed Expense per Exposure</t>
  </si>
  <si>
    <t>Fixed Expense Fee per Exposure</t>
  </si>
  <si>
    <t>Given the following information as of December 31, 2017:</t>
  </si>
  <si>
    <t>Cumulative Reported Loss + ALAE ($000s) as of (months)</t>
  </si>
  <si>
    <t>Calendar Year</t>
  </si>
  <si>
    <t>Earned Premium ($000s)</t>
  </si>
  <si>
    <t>Annual loss and ALAE trend</t>
  </si>
  <si>
    <t>Annual premium trend</t>
  </si>
  <si>
    <t>Fixed Expense Ratio</t>
  </si>
  <si>
    <t>Variable Expense Ratio</t>
  </si>
  <si>
    <t>Profit and Contingencies Provision</t>
  </si>
  <si>
    <t>ULAE Provision (as % of Loss and ALAE)</t>
  </si>
  <si>
    <t>Rate change effective July 1, 2016 (only rate change in the past three years)</t>
  </si>
  <si>
    <t>36 to ultimate reported claim development factor</t>
  </si>
  <si>
    <t>•    All policies are annual.</t>
  </si>
  <si>
    <t>•    Exposures are written evenly throughout each calendar year.</t>
  </si>
  <si>
    <t>•    Rates will be in effect for one year.</t>
  </si>
  <si>
    <t>•    The historical experience is fully credible.</t>
  </si>
  <si>
    <t>Calculate the ultimate losses and ALAE for each accident year using the Cape Cod technique</t>
  </si>
  <si>
    <t>incorporating rate change and trend.</t>
  </si>
  <si>
    <t>Calculate the indicated rate change for policies effective January 1, 2019 using the latest three accident</t>
  </si>
  <si>
    <t>years of experience.</t>
  </si>
  <si>
    <t>First I will find the age to age factors</t>
  </si>
  <si>
    <t>rptd Loss age to age factors</t>
  </si>
  <si>
    <t>36-Ult</t>
  </si>
  <si>
    <t>Selected</t>
  </si>
  <si>
    <t>Age To Ult</t>
  </si>
  <si>
    <t>% reported</t>
  </si>
  <si>
    <t xml:space="preserve">trended rpt loss </t>
  </si>
  <si>
    <t xml:space="preserve">AY </t>
  </si>
  <si>
    <t xml:space="preserve">&amp; ALAE </t>
  </si>
  <si>
    <t xml:space="preserve">I will now On level and trend premium. </t>
  </si>
  <si>
    <t>OLF</t>
  </si>
  <si>
    <t>Premium Trned</t>
  </si>
  <si>
    <t>Trended OLEP</t>
  </si>
  <si>
    <t>Portion earned in Each CY</t>
  </si>
  <si>
    <t>Rate Level</t>
  </si>
  <si>
    <t>Avg Rate Lvl</t>
  </si>
  <si>
    <t>Now I will calculate the ECR</t>
  </si>
  <si>
    <t xml:space="preserve">I will assume premium is also given in thousands. </t>
  </si>
  <si>
    <t>Used up Premium</t>
  </si>
  <si>
    <t>ECR</t>
  </si>
  <si>
    <t>Adjusted ECR</t>
  </si>
  <si>
    <t xml:space="preserve">I will select an all yr wtd average and detrend to get it at the levels of each year. </t>
  </si>
  <si>
    <t>I can now use the adjusted ECRs to calculate my CC ult</t>
  </si>
  <si>
    <t>Rptd BF Ult Loss &amp; ALAE ($000)</t>
  </si>
  <si>
    <t>total</t>
  </si>
  <si>
    <t>I need to trend ultimate losses from the avg accident date of each AY to the future avg acc date of 1/1/2020</t>
  </si>
  <si>
    <t xml:space="preserve">I will trend premium from the avg earned date (7/1) to the future avg earned date of 1/1/2020. </t>
  </si>
  <si>
    <t>AY</t>
  </si>
  <si>
    <t>Loss Trend</t>
  </si>
  <si>
    <t>Trend Ult Loss</t>
  </si>
  <si>
    <t>Premium Trend</t>
  </si>
  <si>
    <t>On level trended EP</t>
  </si>
  <si>
    <t>LR</t>
  </si>
  <si>
    <t>Ind rate Change</t>
  </si>
  <si>
    <t>a. work</t>
  </si>
  <si>
    <t>Cumulative Reported Loss + ALAE as of (months)</t>
  </si>
  <si>
    <t>LDFs</t>
  </si>
  <si>
    <t>36-ult</t>
  </si>
  <si>
    <t>at historical levels</t>
  </si>
  <si>
    <t>CC</t>
  </si>
  <si>
    <t>CC Ult</t>
  </si>
  <si>
    <t>% rep</t>
  </si>
  <si>
    <t>Loss &amp; ALAE</t>
  </si>
  <si>
    <t xml:space="preserve">ATA </t>
  </si>
  <si>
    <t>I am selecting a straight average since LDFs seem stable for 12-24 maturity.</t>
  </si>
  <si>
    <t>ATU</t>
  </si>
  <si>
    <t>trended</t>
  </si>
  <si>
    <t>OL trended</t>
  </si>
  <si>
    <t>Rep Loss &amp; ALAE</t>
  </si>
  <si>
    <t>Loss trend factor to 2017</t>
  </si>
  <si>
    <t>EP</t>
  </si>
  <si>
    <t>Avg RL</t>
  </si>
  <si>
    <t>OLEP</t>
  </si>
  <si>
    <t>Prem trend fac</t>
  </si>
  <si>
    <t>loss&amp; ALAE</t>
  </si>
  <si>
    <t>CC ECR AY 17 levels</t>
  </si>
  <si>
    <t>Ult loss &amp; ALAE using CC</t>
  </si>
  <si>
    <t>trend 7/1/YY to 1/1/2020</t>
  </si>
  <si>
    <t>Trend</t>
  </si>
  <si>
    <t>Trended</t>
  </si>
  <si>
    <t>Utl Loss</t>
  </si>
  <si>
    <t>factor</t>
  </si>
  <si>
    <t>Period</t>
  </si>
  <si>
    <t>No clear trend.  I will select a straight average.</t>
  </si>
  <si>
    <t>Selected LR</t>
  </si>
  <si>
    <t>Load LR for ULAE</t>
  </si>
  <si>
    <t>b. Indicated rate change</t>
  </si>
  <si>
    <t>a</t>
  </si>
  <si>
    <t>trend to</t>
  </si>
  <si>
    <t>reported</t>
  </si>
  <si>
    <t>trended reported</t>
  </si>
  <si>
    <t>to 2017</t>
  </si>
  <si>
    <t>OLEP (2017 levels)</t>
  </si>
  <si>
    <t>used up prem</t>
  </si>
  <si>
    <t>losses</t>
  </si>
  <si>
    <t>losses (to 2017)</t>
  </si>
  <si>
    <t>loss development</t>
  </si>
  <si>
    <t>12 24</t>
  </si>
  <si>
    <t>24 36</t>
  </si>
  <si>
    <t>36 ult</t>
  </si>
  <si>
    <t>CC ECR</t>
  </si>
  <si>
    <t>2015 loss level, OLEP @17 prem trend level</t>
  </si>
  <si>
    <t>2016 loss level, OLEP @17 premium trend level</t>
  </si>
  <si>
    <t>2017 loss level, OLEP @17 premium trendlevel</t>
  </si>
  <si>
    <t>Cape cod ultimate</t>
  </si>
  <si>
    <t>b</t>
  </si>
  <si>
    <t>trend is from acerage accident/earned dates</t>
  </si>
  <si>
    <t>7/1/YY - 1/1/20</t>
  </si>
  <si>
    <t xml:space="preserve">projected </t>
  </si>
  <si>
    <t>ultimate</t>
  </si>
  <si>
    <t>projected</t>
  </si>
  <si>
    <t>trend</t>
  </si>
  <si>
    <t>loss</t>
  </si>
  <si>
    <t>ult loss</t>
  </si>
  <si>
    <t>select straight avg LR. No pattern</t>
  </si>
  <si>
    <t>indication</t>
  </si>
  <si>
    <t>Given the following information for two personal automobile policies:</t>
  </si>
  <si>
    <t xml:space="preserve">Prem &gt; Losses &gt; expenses &gt; profit </t>
  </si>
  <si>
    <t>Three-Year Time Horizon for 21 Year-old Driver</t>
  </si>
  <si>
    <t>Age</t>
  </si>
  <si>
    <t>Premium ($)</t>
  </si>
  <si>
    <t>Loss ($)</t>
  </si>
  <si>
    <t>Expense ($)</t>
  </si>
  <si>
    <t>Renewal Probability</t>
  </si>
  <si>
    <t>21 Year old</t>
  </si>
  <si>
    <t>Cumulative</t>
  </si>
  <si>
    <t>Profit</t>
  </si>
  <si>
    <t>Persistency</t>
  </si>
  <si>
    <t>Adj profit</t>
  </si>
  <si>
    <t>Adj premium</t>
  </si>
  <si>
    <t>Total</t>
  </si>
  <si>
    <t>Three-Year Time Horizon for 65 Year-old Driver</t>
  </si>
  <si>
    <t>65 Year old</t>
  </si>
  <si>
    <t>Return:</t>
  </si>
  <si>
    <t>Cumul. Pers</t>
  </si>
  <si>
    <t>Annual discount rate</t>
  </si>
  <si>
    <t>•    Policies are written on January 1.</t>
  </si>
  <si>
    <t>•    Premium is collected and the expense and losses are incurred on January 1.</t>
  </si>
  <si>
    <t>The 65 year old has a larger percentage return on premium over a 3 year horizon (4.459% &gt; 2.352%)</t>
  </si>
  <si>
    <t>Evaluate whether the 21 year-old or 65 year-old has a larger percentage return</t>
  </si>
  <si>
    <t>on premium over the three-year horizon.</t>
  </si>
  <si>
    <t>A company is considering whether to use vehicle color as a private passenger</t>
  </si>
  <si>
    <t xml:space="preserve">auto rating variable for bodily injury coverage. </t>
  </si>
  <si>
    <t>Evaluate the use of vehicle color as a rating variable using two operational criteria.</t>
  </si>
  <si>
    <t>Evaluate the use of vehicle color as a rating variable using two social criteria.</t>
  </si>
  <si>
    <t>a)</t>
  </si>
  <si>
    <t>1) Objective - Yes the color of one's car is objective (red, yellow, blue, green, etc.)Even in cases where</t>
  </si>
  <si>
    <t>a car has a unique color, there is usually a paint code assigned by manufacturer that can usually determine what color class it falls into</t>
  </si>
  <si>
    <t>2) Verifiable - Yes the color of ones car is usually verifiable through the VIN number or through a photo taken by the insured.</t>
  </si>
  <si>
    <t>b)</t>
  </si>
  <si>
    <t>1) Privacy - This would not be an issue as the color of ones car would not be considered private information (the insured drives the car around where everyone can see anyways)</t>
  </si>
  <si>
    <t>2) Controllability - Color of ones car can be controlled to some extent as a car buyer can choose what color of car they want, however</t>
  </si>
  <si>
    <t>this may not be the main concern of a car buyer or also may be out of their hands if certain colors are unavailable.</t>
  </si>
  <si>
    <t>Objective</t>
  </si>
  <si>
    <t>Vehicle color is objective and cannot be manipulated by the insured. A color is a color - there is nothing for interpretation or opinion. Therefore it is objective.</t>
  </si>
  <si>
    <t>Easy/inexpensive to obtain</t>
  </si>
  <si>
    <t xml:space="preserve">This can be capture on an application for a quote which is easy and inexpensive. </t>
  </si>
  <si>
    <t>Causality</t>
  </si>
  <si>
    <t>There is not an obvious cause and effect relationship between car color and expected loss so it would not be accepted by the public.</t>
  </si>
  <si>
    <t>Controllability</t>
  </si>
  <si>
    <t>An insured can choose what color car they buy and drive therefore it meets controllability so they can reduce their moral hazard by</t>
  </si>
  <si>
    <t>buying a particular color car.</t>
  </si>
  <si>
    <t>Car colors such as aqua or teal could be classified as blue or green, so car color may not necessarily be an objective value, so ojectivitiy is not satisfied.</t>
  </si>
  <si>
    <t>Car color likely had not been captured historically, and to back fill this in the data would be costly and time consuming, so this is not satisfied.</t>
  </si>
  <si>
    <t>It would be difficult for the public to accept car color as a driver of loss, so causality is not satisfied.</t>
  </si>
  <si>
    <t>Car color is controlled by the insured, since they pick the color of their car, so controllability is satisfied.</t>
  </si>
  <si>
    <t>Color is objective, a red car is red.</t>
  </si>
  <si>
    <t>Verifiable</t>
  </si>
  <si>
    <t>It would be easy to verify with either an on-sight check or the insured sending in a picture.</t>
  </si>
  <si>
    <t>Privacy</t>
  </si>
  <si>
    <t>No privacy will be infringed upon since the color of the vehicle is in plain sight for the public</t>
  </si>
  <si>
    <t>The insured can chose the color of their vehicle, even change the color of their existing vehicle. This allows them to have some control of the premium that is based on color</t>
  </si>
  <si>
    <t>Objective:</t>
  </si>
  <si>
    <t>The vehicle color may not be objective color, for example, the jade can be explained as either blue or green. Therefore, it is not objective and it is ambigious</t>
  </si>
  <si>
    <t>Easy and inexpensive to obtain and verify: This is not an issue because insurer can easily get this by asking insured to show the statement of their vehicle</t>
  </si>
  <si>
    <t>Controllability: The vehicle color is within the control of insured since they can choose which vehicle color to purchase, giving them incentive to reduce the risl</t>
  </si>
  <si>
    <t>Affordability: it may have some issue in terms of affordability. If a poor insured has a high rated vehicle color car, this may cause some affordbility issue</t>
  </si>
  <si>
    <t xml:space="preserve">vehicle color would most likely be self reported by the insured and should be easy to verify through state licensing. </t>
  </si>
  <si>
    <t>vehicle color would be collected through state licensing and should have a fairly objective definition except in certain cases. Ex: blue and green</t>
  </si>
  <si>
    <t>Based on these operational criteria vehicle color could be added to the rating algorithm.</t>
  </si>
  <si>
    <t>vehicle color should not have an affect on affordability as there is no reason to believe different income groups have different distributions of car colors.</t>
  </si>
  <si>
    <t>From the public's standpoint, vehicle color does not have a clear causual relationship by level to the expected loss.</t>
  </si>
  <si>
    <t>Based on the fact that there is not a clear relationship between vehicle color and expected loss, I would not recommend vehicle color be added based on the social criteria.</t>
  </si>
  <si>
    <t>Vehicle color is clearly defined by the manufacturer of the car, so it is</t>
  </si>
  <si>
    <t>objective.</t>
  </si>
  <si>
    <t>Practical</t>
  </si>
  <si>
    <t>Insurers often gather this data during a quote, so their IT systems are already</t>
  </si>
  <si>
    <t>built to store this information. This variable can be easily stored and maintained.</t>
  </si>
  <si>
    <t>This information is not considered controversial in terms of privacy infringement.</t>
  </si>
  <si>
    <t>Most insureds are used to reporting their vehicle color to many organizations such</t>
  </si>
  <si>
    <t>as their apartment management, so the public will not consider the insurer asking for</t>
  </si>
  <si>
    <t>this information as a violation of their privacy.</t>
  </si>
  <si>
    <t>The public understands that this characteristic could be indicative of their risk level.</t>
  </si>
  <si>
    <t>For example, it's easy to understand that darker cars are harder to see at night,</t>
  </si>
  <si>
    <t>and so the dark color could be the cause of an accident.</t>
  </si>
  <si>
    <t>Objectively defined - This rating variable fails this criteria since there are way too many shades of colors for</t>
  </si>
  <si>
    <t>an insurer to consider. Every auto manufacturer has their own colors and constently come out with new colors.</t>
  </si>
  <si>
    <t>The insurer would have to bucket these colors and would have to make a decision on what color bucket</t>
  </si>
  <si>
    <t>best describes each color which would change over time and it is open to subjectivity</t>
  </si>
  <si>
    <t>Practical to obtain - This rating variable would be practical to obtain since this information is given</t>
  </si>
  <si>
    <t>by the car manufacturer in the vehicle identification number and they each have an exhaustive</t>
  </si>
  <si>
    <t xml:space="preserve">list of colors. The VIN information is already obtianed when the insurer writes the policy, so it would </t>
  </si>
  <si>
    <t>just require looking up one additonal value</t>
  </si>
  <si>
    <t>Controllable - This criteria is mostly met. The insurer has control over what color car they purchase</t>
  </si>
  <si>
    <t>and if they know that the color red means higher BI rates, then they would stay away from that color.</t>
  </si>
  <si>
    <t>However, young drivers will have less control of this since most of the time they adopt their parent's</t>
  </si>
  <si>
    <t>autos since they don't have enough money to buy their own. This criteria is mostly met</t>
  </si>
  <si>
    <t>Privacy - This criteria is met since the public displays the color of their car on the road all the time. There</t>
  </si>
  <si>
    <t>isn't any additonal information being given to the insurer that the insured doesn't already provide</t>
  </si>
  <si>
    <t>to everyone else, so there shouldn't be an issue with this crieria</t>
  </si>
  <si>
    <t>Inexpensive to Obtain: Car color is something that is tracked by the RMV for car registrations. As such,</t>
  </si>
  <si>
    <t>this should be easy and inexpensive to obtain. In an instance where it is not tracked</t>
  </si>
  <si>
    <t>by a state DMV, self-reporting should be inexpensive to obtain.</t>
  </si>
  <si>
    <t>Verfiable: Even if this is obtainable from the RMV/DMV, it would still be difficult to verify as people</t>
  </si>
  <si>
    <t>can paint their cars and not update the DMV. If this is not tracked by the DMV, then this</t>
  </si>
  <si>
    <t>would be most likley based off of self-reporting, and it would be difficult to verify.</t>
  </si>
  <si>
    <t>Due to the difficulty in verifying, I would NOT recommend implementing this variable.</t>
  </si>
  <si>
    <t>Causalty - There is no reason to believe that the color of one's car would impact expceted loss.</t>
  </si>
  <si>
    <t>Privacy - This is something people would be comfortable with sharing since car color is something very public and seen</t>
  </si>
  <si>
    <t>everytime someone drives a car.</t>
  </si>
  <si>
    <t>Given the irrational causalty for this variable, I would strongly recommend NOT implementing this variable.</t>
  </si>
  <si>
    <t>True</t>
  </si>
  <si>
    <t>Company A</t>
  </si>
  <si>
    <t>Company B</t>
  </si>
  <si>
    <t>Expected</t>
  </si>
  <si>
    <t>First Year</t>
  </si>
  <si>
    <t>Risk</t>
  </si>
  <si>
    <t>Cost</t>
  </si>
  <si>
    <t>Insured Risks</t>
  </si>
  <si>
    <t>Charged Rate</t>
  </si>
  <si>
    <t>Company A Premium</t>
  </si>
  <si>
    <t>Company A Cost</t>
  </si>
  <si>
    <t>Company A Profit</t>
  </si>
  <si>
    <t>High</t>
  </si>
  <si>
    <t>Low</t>
  </si>
  <si>
    <t>•    There are no underwriting expenses or profit provisions.</t>
  </si>
  <si>
    <t>•    Market consists of 10,000 high risk insureds and 10,000 low risk insureds.</t>
  </si>
  <si>
    <t>Company B Premium</t>
  </si>
  <si>
    <t>Company B Cost</t>
  </si>
  <si>
    <t>Company B Profit</t>
  </si>
  <si>
    <t>•    Both companies write only one line of business.</t>
  </si>
  <si>
    <t>•    20% of all insureds shop at renewal and base their purchasing decision on price.</t>
  </si>
  <si>
    <t>Calculate the profitability for each company after one renewal cycle.</t>
  </si>
  <si>
    <t>Renewal</t>
  </si>
  <si>
    <t>Briefly describe two possible actions for the company experiencing adverse selection to</t>
  </si>
  <si>
    <t>reduce the risk of insolvency.</t>
  </si>
  <si>
    <t>Company B is experience adverse selection. Company B could…</t>
  </si>
  <si>
    <t>1) Tighten underwriting guidelines by limiting the amount of "High" risk they are willing write.</t>
  </si>
  <si>
    <t>2) Start differentiating prices between "High" and "low" risks risks. Increase prices on high risks in order to reduce unprofitability, consider reducing prices on low risks to increase retention and new business.</t>
  </si>
  <si>
    <t>The company experiencing adverse selection could</t>
  </si>
  <si>
    <t>Insured Risks After one cycle</t>
  </si>
  <si>
    <t>revise its own rating factors (perhaps after consulting competitor rate filings) in order to better reflect the expected costs of different segments within this line of business</t>
  </si>
  <si>
    <t>A</t>
  </si>
  <si>
    <t>B</t>
  </si>
  <si>
    <t>increase premiums and reduce costs with the expectation of becoming the insurer of choice for high-risk insureds This can still be a profitable niche, if the policies are priced correctly.</t>
  </si>
  <si>
    <t>Premium after one cycle</t>
  </si>
  <si>
    <t>Expected Losses after one Cycle</t>
  </si>
  <si>
    <t>Profit/(Loss)</t>
  </si>
  <si>
    <t>Profit/(Loss) %</t>
  </si>
  <si>
    <t>COMPANY A</t>
  </si>
  <si>
    <t>COMPANY B</t>
  </si>
  <si>
    <t xml:space="preserve">Insured </t>
  </si>
  <si>
    <t>Insured</t>
  </si>
  <si>
    <t>Risks</t>
  </si>
  <si>
    <t>After one renewal cycle</t>
  </si>
  <si>
    <t xml:space="preserve">High </t>
  </si>
  <si>
    <t>Insureds will switch from Company A to Company B for lower charged rate</t>
  </si>
  <si>
    <t>Insureds will switch from company B to company A for lower charged rate</t>
  </si>
  <si>
    <t>Company A will have profit of $20,000 after 1 cycle</t>
  </si>
  <si>
    <t>and Company B have negative profit of $40,000</t>
  </si>
  <si>
    <t>Company B is experiencing adverse selection.</t>
  </si>
  <si>
    <t>Since Company B charges a lower rate for High-risk insureds, the high-risk, higher -cost insureds from Company A are switching to Company B</t>
  </si>
  <si>
    <t>This is causing Company B to lose more profit from high-risk insureds than company A.</t>
  </si>
  <si>
    <t>Company B should alter their marketing strategy to focus more on low risk insureds to prevent losing so many to company A.</t>
  </si>
  <si>
    <t>This will boost their profit from low risk insureds if they can attract more.</t>
  </si>
  <si>
    <t>Company B could also lower their rate for low-risk and increase their rate for High-risk insureds to be at the level of Company A so they will no longer experience adverse selection</t>
  </si>
  <si>
    <t>Given the following information for an insurance company:</t>
  </si>
  <si>
    <t>Earned</t>
  </si>
  <si>
    <t>Reported Loss</t>
  </si>
  <si>
    <t>Number of</t>
  </si>
  <si>
    <t>Current</t>
  </si>
  <si>
    <t>Class</t>
  </si>
  <si>
    <t>Exposures</t>
  </si>
  <si>
    <t>and ALAE</t>
  </si>
  <si>
    <t>Claims</t>
  </si>
  <si>
    <t>Relativity</t>
  </si>
  <si>
    <t>C</t>
  </si>
  <si>
    <t>Full credibility standard for number of earned exposures</t>
  </si>
  <si>
    <t>•    Partial credibility is determined based on the square root rule.</t>
  </si>
  <si>
    <t>•    Complement of credibility is equal to normalized current class relativities.</t>
  </si>
  <si>
    <t>•    Class A remains the base class.</t>
  </si>
  <si>
    <t>Calculate the indicated rate change for each class to achieve a revenue-neutral overall change.</t>
  </si>
  <si>
    <t>Briefly describe one possible reason why the indicated relativities do not match the true relativities.</t>
  </si>
  <si>
    <t>Briefly explain an adjustment to the univariate pure premium method to improve its result.</t>
  </si>
  <si>
    <t>EE</t>
  </si>
  <si>
    <t>Reported Loss &amp; ALAE</t>
  </si>
  <si>
    <t># of Claims</t>
  </si>
  <si>
    <t>Current Rel</t>
  </si>
  <si>
    <t>PP</t>
  </si>
  <si>
    <t>Ind Rel</t>
  </si>
  <si>
    <t>Normalized Current Rel</t>
  </si>
  <si>
    <t>Z</t>
  </si>
  <si>
    <t>C-W Ind Rel</t>
  </si>
  <si>
    <t>Rebased C-W Ind Rel</t>
  </si>
  <si>
    <t>% Change</t>
  </si>
  <si>
    <t>Off-balance:</t>
  </si>
  <si>
    <t>Since I conducted a univariate analysis, this does not take into account exposure correlation - that some other rating variables might be correlated to this variable.</t>
  </si>
  <si>
    <t>The pure premiums for each class could be adjusted by an average of all other rating factors, this would account for exposure correlation</t>
  </si>
  <si>
    <t>Indicated Rel.</t>
  </si>
  <si>
    <t xml:space="preserve">Normalized </t>
  </si>
  <si>
    <t>Credibility Weighted</t>
  </si>
  <si>
    <t>Total Rate</t>
  </si>
  <si>
    <t>Pure Premium</t>
  </si>
  <si>
    <t>To total</t>
  </si>
  <si>
    <t>Current Rel.</t>
  </si>
  <si>
    <t>Rebased</t>
  </si>
  <si>
    <t>Change</t>
  </si>
  <si>
    <t>current average relativity =</t>
  </si>
  <si>
    <t>off-balance =</t>
  </si>
  <si>
    <t>proposed average relativity =</t>
  </si>
  <si>
    <t xml:space="preserve">Class </t>
  </si>
  <si>
    <t>Total Rate Change</t>
  </si>
  <si>
    <t>Volitility in the loss experience period due to the lower credibility especial in classes B and C.</t>
  </si>
  <si>
    <t>You could use the adjusted pure premium approach, where expousres are adjusted based on other relativities (for example, they would be adjusted for territory relativities)</t>
  </si>
  <si>
    <t>A company is implementing population density in its rating plan for a line of business. The company has three pieces of information.</t>
  </si>
  <si>
    <t>•    An analysis the company performed using a generalized linear model (GLM) on internal data only.</t>
  </si>
  <si>
    <t>•    The rating factors from a competitor's rate filing.</t>
  </si>
  <si>
    <t>•    The rating factors from an external industry benchmark.</t>
  </si>
  <si>
    <t>Population Density</t>
  </si>
  <si>
    <t>Internal GLM</t>
  </si>
  <si>
    <t>Competitor</t>
  </si>
  <si>
    <t>Industry</t>
  </si>
  <si>
    <t>Medium</t>
  </si>
  <si>
    <t>Provide a recommendation for the low and high level rating factors given the chart above and the external rating factors.</t>
  </si>
  <si>
    <t>Justify the recommendations considering:</t>
  </si>
  <si>
    <t>i. GLM diagnostics</t>
  </si>
  <si>
    <t>ii. Competitor</t>
  </si>
  <si>
    <t>iii. Industry benchmark</t>
  </si>
  <si>
    <t>Low - .65</t>
  </si>
  <si>
    <t>I used an average of the competitor and industry benchmark. Industry is likely based on more data, the competitor might be more similar to the company than the industry at large. I did not factor in the GLM since the number of exposures is so low and the standard errors are so high.</t>
  </si>
  <si>
    <t>High - 1.3</t>
  </si>
  <si>
    <t>I selected the GLM factor since there is more experience for this level and the standard errors are small, this factor is also in between the industry and competitor factors which indicates it is a reasonable factor.</t>
  </si>
  <si>
    <t>Recommendations</t>
  </si>
  <si>
    <t>Low:</t>
  </si>
  <si>
    <t>*High volatility when determining population density relativity.</t>
  </si>
  <si>
    <t>*Standard error range is extremely large from the GLM diagnostics showing the variance for this type of population density relativity.</t>
  </si>
  <si>
    <t xml:space="preserve">*Volatility is further reflected by comparing the competitor and industry benchmarks to the insurer's GLM results: all results are spread out with a significant amount of potential </t>
  </si>
  <si>
    <t>error</t>
  </si>
  <si>
    <t>*Internal exposures for this segment is low. Data for internal GLM may not be credible or reliable.</t>
  </si>
  <si>
    <t>*Industry Benchmark is out of the range of standard errors of internal GLMs. This effect could be caused by differences in the specifics of the data:</t>
  </si>
  <si>
    <t>book mix, policy limits, underwriting guidelines, exposure base, etc.</t>
  </si>
  <si>
    <t>*Competitor data will have similar issues in using external data. However, there seems to be a better fit in comparison with the internal</t>
  </si>
  <si>
    <t>insurer data.</t>
  </si>
  <si>
    <t>Recommendation: Use competitor rating factor.</t>
  </si>
  <si>
    <t>High:</t>
  </si>
  <si>
    <t>*Not too much volatility when comparing industry + competitor to the internal GLM.</t>
  </si>
  <si>
    <t>*High amounts of exposure in this category which means internal GLM should be much more credible compared to the low category</t>
  </si>
  <si>
    <t>*Small range of standard errors showing that the internal GLM estimate should be very accurate within that range.</t>
  </si>
  <si>
    <t xml:space="preserve">*Industry GLM outside of  GLM standard errors. </t>
  </si>
  <si>
    <t>*Outside data (competitor + industry standard) is not known. May have issues in using external data: differences in book mix, policy limits, underwriting,</t>
  </si>
  <si>
    <t>exposure bases, reinsurance amounts, shock losses, etc.</t>
  </si>
  <si>
    <t>Recommendation: Use Internal GLM Rating Factor</t>
  </si>
  <si>
    <t>GLM diagnostics:</t>
  </si>
  <si>
    <t>I can see that Low Density Confidence Interval are Within the Medium Density.</t>
  </si>
  <si>
    <t>Credibility for Low density is very small</t>
  </si>
  <si>
    <t>As such,Internally, it is not statistically proven that Low density has a higher relativity than medium density</t>
  </si>
  <si>
    <t>I would suggest Grouping Low and Medium Density level together</t>
  </si>
  <si>
    <t>High density is fully credible</t>
  </si>
  <si>
    <t>The relativities are much much closer to 1 than industry or our internal data</t>
  </si>
  <si>
    <t>As we do not know how close our Product offering, Policy provision, Underwriting guilines are to the competitor</t>
  </si>
  <si>
    <t>I would suggest not using the competitor rate filing</t>
  </si>
  <si>
    <t>The industry Relativities are much more distinct in terms of High and Low density</t>
  </si>
  <si>
    <t>Which indicates that Our Mix of Business is probably very different than what the industry experiences on average</t>
  </si>
  <si>
    <t>In general Low, Medium and High density are subjective anddensity  ranges may be different from Industry, Competitor and ourselves</t>
  </si>
  <si>
    <t>Final word</t>
  </si>
  <si>
    <t>don’t Rely on Competitor nor Industry Data</t>
  </si>
  <si>
    <t>Combine Low and Medium density together to Increase Credibility</t>
  </si>
  <si>
    <t>Keep Selection of 1.3 for High Density polulation</t>
  </si>
  <si>
    <t>a=</t>
  </si>
  <si>
    <t>Loss</t>
  </si>
  <si>
    <t>Indemnity</t>
  </si>
  <si>
    <t>Penalty</t>
  </si>
  <si>
    <t>Given the following information about a home:</t>
  </si>
  <si>
    <t>Home value</t>
  </si>
  <si>
    <t>Insured value</t>
  </si>
  <si>
    <t>Coinsurance requirement</t>
  </si>
  <si>
    <t>Insureds face the problem of not having total or near total losses fully covered.</t>
  </si>
  <si>
    <t>Insurers face the problem of inadequate rates if rates are set assuming all policies are insured to value. Those policies that are not insured to value will be inadequately priced to cover the expected value of future losses</t>
  </si>
  <si>
    <t>Calculate the coinsurance penalty for the following loss amounts:</t>
  </si>
  <si>
    <t xml:space="preserve">Briefly describe two problems with underinsurance. </t>
  </si>
  <si>
    <t>V</t>
  </si>
  <si>
    <t>F</t>
  </si>
  <si>
    <t>c</t>
  </si>
  <si>
    <t>cV</t>
  </si>
  <si>
    <t>apportionment Ratio</t>
  </si>
  <si>
    <t>i)</t>
  </si>
  <si>
    <t>L</t>
  </si>
  <si>
    <t>I</t>
  </si>
  <si>
    <t>since L&lt;cV</t>
  </si>
  <si>
    <t>Coinsurance penalty</t>
  </si>
  <si>
    <t>ii)</t>
  </si>
  <si>
    <t>iii)</t>
  </si>
  <si>
    <t>Since L= cV, we will pay the Face value</t>
  </si>
  <si>
    <t>No penalty</t>
  </si>
  <si>
    <t>Problems with underinsurance:</t>
  </si>
  <si>
    <t>In case of uderinsurance, the insured does not get paid fully in case of the total loss</t>
  </si>
  <si>
    <t>Assuming premiums are set assuming at all risk are Insured at value, the premium would be inadequate to  cover for the underinsured risks from an insurers perspective</t>
  </si>
  <si>
    <t>=</t>
  </si>
  <si>
    <t>e</t>
  </si>
  <si>
    <t>Loss &gt; coins req</t>
  </si>
  <si>
    <t>B)</t>
  </si>
  <si>
    <t>*The insured is not fully covered in the event of a total or near-total loss.</t>
  </si>
  <si>
    <t>*If the insurer sets rates assuming all risks are covered to the same ITV level,</t>
  </si>
  <si>
    <t>rates will not be equitable, as risks with a lower ITV will be undercharged.</t>
  </si>
  <si>
    <t>Ap</t>
  </si>
  <si>
    <t>Ae</t>
  </si>
  <si>
    <t>Given the following for a workers compensation policyholder:</t>
  </si>
  <si>
    <t>Ee</t>
  </si>
  <si>
    <t>E</t>
  </si>
  <si>
    <t>Policy Year</t>
  </si>
  <si>
    <t>Actual Primary Losses ($)</t>
  </si>
  <si>
    <t>Actual Excess Losses ($)</t>
  </si>
  <si>
    <t>Payroll ($)</t>
  </si>
  <si>
    <t>mod</t>
  </si>
  <si>
    <t>basic prem</t>
  </si>
  <si>
    <t>Expected loss rate per $100 of payroll</t>
  </si>
  <si>
    <t>D-Ratio</t>
  </si>
  <si>
    <t>converted loss</t>
  </si>
  <si>
    <t>Ballast value</t>
  </si>
  <si>
    <t>Weighting value</t>
  </si>
  <si>
    <t>Minimum retrospective premium ratio</t>
  </si>
  <si>
    <t>retro prem</t>
  </si>
  <si>
    <t>Maximum retrospective premium ratio</t>
  </si>
  <si>
    <t>min</t>
  </si>
  <si>
    <t>Loss conversion factor</t>
  </si>
  <si>
    <t>max</t>
  </si>
  <si>
    <t>Per accident loss limitation</t>
  </si>
  <si>
    <t>Expense allowance (excludes tax multiplier)</t>
  </si>
  <si>
    <t>Expected loss ratio</t>
  </si>
  <si>
    <t xml:space="preserve">so retro prem is </t>
  </si>
  <si>
    <t>Tax multiplier</t>
  </si>
  <si>
    <t>Standard premium</t>
  </si>
  <si>
    <t>Insurance charge for maximum premium</t>
  </si>
  <si>
    <t>Insurance savings for minimum premium</t>
  </si>
  <si>
    <t>Limited reported losses</t>
  </si>
  <si>
    <t>Calculate the experience rating modification factor.</t>
  </si>
  <si>
    <t>Calculate the retrospective premium.</t>
  </si>
  <si>
    <t>E=</t>
  </si>
  <si>
    <t>Ep=</t>
  </si>
  <si>
    <t>Ee=</t>
  </si>
  <si>
    <t>Zp=</t>
  </si>
  <si>
    <t>Ze=</t>
  </si>
  <si>
    <t>Mod=</t>
  </si>
  <si>
    <t>E(A)=</t>
  </si>
  <si>
    <t>e=</t>
  </si>
  <si>
    <t>C=</t>
  </si>
  <si>
    <t>I=</t>
  </si>
  <si>
    <t>b=</t>
  </si>
  <si>
    <t>R before min/max=</t>
  </si>
  <si>
    <t>min=</t>
  </si>
  <si>
    <t>max=</t>
  </si>
  <si>
    <t>R=</t>
  </si>
  <si>
    <t>Given the following transactional data:</t>
  </si>
  <si>
    <t>Claim ID</t>
  </si>
  <si>
    <t>Accident Date</t>
  </si>
  <si>
    <t>Transaction Date</t>
  </si>
  <si>
    <t>Amount Paid on Transaction Date</t>
  </si>
  <si>
    <t>Ending Case Outstanding</t>
  </si>
  <si>
    <t>D</t>
  </si>
  <si>
    <t>Calculate accident year 2015 paid claims as of:</t>
  </si>
  <si>
    <t>i. 12 months</t>
  </si>
  <si>
    <t>ii. 24 months</t>
  </si>
  <si>
    <t>iii. 36 months</t>
  </si>
  <si>
    <t>Calculate accident year 2015 reported claims as of:</t>
  </si>
  <si>
    <t>A.</t>
  </si>
  <si>
    <t>B.</t>
  </si>
  <si>
    <t>This expected claims ratio will not reflect what's expected in the future and will give more weight to the older years.</t>
  </si>
  <si>
    <t>Since the ultimate claims ratios are increasing over the years, using an expected claims ratio of 70% would be innapropriate.</t>
  </si>
  <si>
    <t>ratio</t>
  </si>
  <si>
    <t>claims</t>
  </si>
  <si>
    <t>Unreported</t>
  </si>
  <si>
    <t>Ult claims</t>
  </si>
  <si>
    <t>Ultimate</t>
  </si>
  <si>
    <t xml:space="preserve">Expected </t>
  </si>
  <si>
    <t xml:space="preserve">% </t>
  </si>
  <si>
    <t>CDF to ult</t>
  </si>
  <si>
    <t>60-ult</t>
  </si>
  <si>
    <t>Age-to-age factor as of months</t>
  </si>
  <si>
    <t>Cumulative Reported Claims ($000) as of (months)</t>
  </si>
  <si>
    <t>technique as applied in part a. above.</t>
  </si>
  <si>
    <t>Evaluate the appropriateness of using the reported Bornhuetter-Ferguson</t>
  </si>
  <si>
    <t>Bornheutter-Ferguson technique with a 70% expected claims ratio.</t>
  </si>
  <si>
    <t xml:space="preserve">Calculate ultimate claim ratios for each accident year using the reported </t>
  </si>
  <si>
    <t>•    There is no development beyond 48 months.</t>
  </si>
  <si>
    <t>•    There have been no rate changes.</t>
  </si>
  <si>
    <t>Calendar 
Year</t>
  </si>
  <si>
    <t>Given the following:</t>
  </si>
  <si>
    <t>Claim Ratio Using Development Technique</t>
  </si>
  <si>
    <t>It seems that the claim ratio may be increasing which can be seen by the claims ratios indicated by the development technique. If the claim ratio is growing and the expected claim ratio used in the B-F is not adjusted then it will underestimate the ultimate if the claim ratio is increasing</t>
  </si>
  <si>
    <t>Ultimate Claim Ratio</t>
  </si>
  <si>
    <t>Ultimate B-F</t>
  </si>
  <si>
    <t>Reported</t>
  </si>
  <si>
    <t>% Unreported</t>
  </si>
  <si>
    <t>implied claim ratio</t>
  </si>
  <si>
    <t>the rept BF technique does not seem appropriate, since the selected Claim Ratio of 70% does not look to be appropriate, since the implied ult claim ratio is increasing and has been &gt;70% since 2015. (and you can see by the implied claim ratio triangle that even the non-ult claim ratios have been increasing down each column at each age).  Therefore the claim ratio selection of 70% for the BF is not appropriate.</t>
  </si>
  <si>
    <t>ult Claim Ratio</t>
  </si>
  <si>
    <t>ult rept</t>
  </si>
  <si>
    <t>% unrept</t>
  </si>
  <si>
    <t>select average, as any differences look to just be volatility around the same numbers</t>
  </si>
  <si>
    <t>selected</t>
  </si>
  <si>
    <t>average</t>
  </si>
  <si>
    <t>48-ult</t>
  </si>
  <si>
    <t>Briefly evaluate the appropriateness of the paid development technique and the</t>
  </si>
  <si>
    <t>reported Bornhuetter-Ferguson technique in the following scenarios:</t>
  </si>
  <si>
    <t>The company pays a large shock loss early in the life of the accident year.</t>
  </si>
  <si>
    <t>The company has difficulty compiling an accurate history of rate changes.</t>
  </si>
  <si>
    <t>The company begins to settle claims earlier.</t>
  </si>
  <si>
    <t>Severity trend is higher than expected.</t>
  </si>
  <si>
    <t>Paid Development</t>
  </si>
  <si>
    <t>This would not be appropriate because the historical development patterns would not account for the higher percentage paid in the early development. The actual development will be lower than the historic, so this is not appropriate as ultimate losses would be overstated.</t>
  </si>
  <si>
    <t>Bornhuetter-Ferguson</t>
  </si>
  <si>
    <t>This would be appropriate because it accounts for the actual YTD reported claims and then loads in an expected remaining claim amount based on reported development patterns.</t>
  </si>
  <si>
    <t>This would not be affected because there is not need for accurate premiums. All estimations are based on on loss, so this would be appropriate.</t>
  </si>
  <si>
    <t>This would not be appropriate because the expected future claims rely restated earned premium. If there is not accurate rate change history to use to on-level, then this would not be accurate. Whether it is over or understated depends on the direction of the rate changes.</t>
  </si>
  <si>
    <t>c)</t>
  </si>
  <si>
    <t>This would not be appropriate because more claims would be settled earlier, meaning less development in later periods. However, the historic development factors would still be applied, resulting in overestimated losses.</t>
  </si>
  <si>
    <t>Assuming that reported patterns are still appropriate, this method will also still be appropriate. This is because it used reported claims which are unaffected by settlement rates.</t>
  </si>
  <si>
    <t>d)</t>
  </si>
  <si>
    <t>This method would be unaffected because the age-to-age factors would effectly multiply by trend / trend, which would cancel out. This would still provide accurate estimates.</t>
  </si>
  <si>
    <t>This would likely result in an inaccurate expected claims ratio. This would cause the ultimate loss estimate to be understated.</t>
  </si>
  <si>
    <t>Paid dev: early on, the ult losses will be highly leveraged. Thus the ult losses will be overestimated because of this initial shock loss</t>
  </si>
  <si>
    <t>BF reported: this will account for the shock loss, but the unreported claims will still be based on the expected a priori loss ratio. This technique is appropriate.</t>
  </si>
  <si>
    <t>Paid dev: this technique doesn't use on-level Premiums, it is unaffected by this scenario</t>
  </si>
  <si>
    <t>BF reported: without the history of rate changes, it will be impossible to bring the Premiums at current level. Thus it won't be expected to calculate the expected unreported losses with this method.</t>
  </si>
  <si>
    <t xml:space="preserve">Paid Dev: this will increase the amount paid at early maturities. However, the LDF will not yet reflect this change in pattern. The ult losses will then be overstated. </t>
  </si>
  <si>
    <t>BF reported: if the case reserves were adequate, this won't change the reported losses (case reserves are simply turned into paid claims more quickly). This technique would be appropriate.</t>
  </si>
  <si>
    <t>Paid dev: this technique will be very responsive to the increase in severity, if it is reflected at early maturities. Appropriate.</t>
  </si>
  <si>
    <t>BF reported: the unreported claims portion of this technique will not reflect the higher than expected severity. It is not appropriate, the chosen loss ratio should have been higher.</t>
  </si>
  <si>
    <t>After operating in a steady-state environment for multiple years, an insurer decides to</t>
  </si>
  <si>
    <t>increase the strength of outstanding case reserves in 2017.</t>
  </si>
  <si>
    <t>Explain how this change will impact the following techniques if no adjustments are made.</t>
  </si>
  <si>
    <t>Reported claim development technique</t>
  </si>
  <si>
    <t>Case outstanding development technique</t>
  </si>
  <si>
    <t>Identify a technique that is not impacted by this change.</t>
  </si>
  <si>
    <t>i. Ultimate claims will be overestimated since historical ratios based on prior case adequacy will be applied to higher reported amounts</t>
  </si>
  <si>
    <t>ii. Ultimate claims will be overestimated since historical remaining in case ratios will be applied to the higher case</t>
  </si>
  <si>
    <t>oustanding which results in higher incremental case oustanding and high paid on prior case, thus higher ultimates.</t>
  </si>
  <si>
    <t>Expected claims method is not impacted since it relies on an a priori expected claims ratio.</t>
  </si>
  <si>
    <t>A:</t>
  </si>
  <si>
    <t>i: Reported claim development will overproject when this change is made, as when case reserves are strengthened the</t>
  </si>
  <si>
    <t>the amount of reported claims as a percentage of ultimate is higher than it has been historically. So using development factors that expect</t>
  </si>
  <si>
    <t>the percentage of reported claims to be lower than they are after this change on the latest diagonal, will overproject IBNR and thus ultimate claims</t>
  </si>
  <si>
    <t>ii: Assuming payment patterns do not change, both the paid on case ratio and remaining on case ratios will change when case reserves</t>
  </si>
  <si>
    <t>are strengthened. The true paid on case ratio will decrease, while the true remaining on case ratio will increase. If historical</t>
  </si>
  <si>
    <t>ratios are used, this method will also be inaccurate as we will overproject the amount paid,</t>
  </si>
  <si>
    <t>and underproject the amount that remains on case in the future for case reserves</t>
  </si>
  <si>
    <t>B:</t>
  </si>
  <si>
    <t>The paid development technique is unaffected by changes in case reserve adequacy.</t>
  </si>
  <si>
    <t>case reserve adequacy is strenghtened in 2017.</t>
  </si>
  <si>
    <t>Reported claim development technique:</t>
  </si>
  <si>
    <t>The strenghtening in case reserve adequacy would result in the rep. claim technique overstating ultimate losses</t>
  </si>
  <si>
    <t>as historical development factors would be applied to a higher base (due to incr. case reserves).</t>
  </si>
  <si>
    <t>The case remaining and paid on case development technique would be overstated as well, due to historical</t>
  </si>
  <si>
    <t>case changes and paid on case changes being applied to higher base case reserves.</t>
  </si>
  <si>
    <t>The Berquist Sherman case outstanding adjustment technique would address the distortion caused to the methods in (a) by re-stating</t>
  </si>
  <si>
    <t>historical losses at current case reserve adequacy levels. It would not be impacted by this change.</t>
  </si>
  <si>
    <t>Cumulative Paid Loss + ALAE ($) as of (months)</t>
  </si>
  <si>
    <t>Average Case Outstanding ($) as of (months)</t>
  </si>
  <si>
    <t>average case outstanding restated with 2016 diagonal as base</t>
  </si>
  <si>
    <t>Open Claim Counts as of (months)</t>
  </si>
  <si>
    <t>Cumulative Closed Claim Counts as of (months)</t>
  </si>
  <si>
    <t>disposal rates to calculate adj closed claims since the paid claims were also adj</t>
  </si>
  <si>
    <t>2017 adj closed claims are the only ones that need to chang</t>
  </si>
  <si>
    <t>Cumulative Reported Claim Counts as of (months)</t>
  </si>
  <si>
    <t>Claim</t>
  </si>
  <si>
    <t>Counts</t>
  </si>
  <si>
    <t>adj open claims</t>
  </si>
  <si>
    <t>Berquist-Sherman Adjusted</t>
  </si>
  <si>
    <t>Cumulative Paid Claims ($)</t>
  </si>
  <si>
    <t>adj reported incl all adjustments assuming the b-s adj already made was done with 2016 as base</t>
  </si>
  <si>
    <t>Annual severity trend</t>
  </si>
  <si>
    <t>Adjusted paid 48-Ultimate development factor</t>
  </si>
  <si>
    <t>•    In 2016, the company undertook an effort to significantly increase the strength of their case reserves.</t>
  </si>
  <si>
    <t>•    In 2017, the company experienced significant turnover in their claims department resulting in extreme distortions to case reserve and payment patterns.</t>
  </si>
  <si>
    <t>•    As of the end of 2017 the staffing levels have returned to normal.</t>
  </si>
  <si>
    <t>age to age factors</t>
  </si>
  <si>
    <t>Calculate an appropriate estimate of the ultimate loss &amp; ALAE for accident year 2017 using Berquist-Sherman adjustments with the calendar year 2016</t>
  </si>
  <si>
    <t>&lt;-- use this as it is our only tail factor given even though this is a reported triangle</t>
  </si>
  <si>
    <t>diagonal as the basis for adjusting.</t>
  </si>
  <si>
    <t>selected all year avege</t>
  </si>
  <si>
    <t>cdf</t>
  </si>
  <si>
    <t>2017 ult</t>
  </si>
  <si>
    <t>First we get an adjusted reported triangle and then we can perform the Development technique to obtain an ultimate loss for AY 2017</t>
  </si>
  <si>
    <t>Disposal Rates</t>
  </si>
  <si>
    <t>Avg. Disposal Rate</t>
  </si>
  <si>
    <t>Selected Disposal Rate</t>
  </si>
  <si>
    <t>Adjusted Average Case Outstanding ($) as of (months)</t>
  </si>
  <si>
    <t>Adjusted Open Claim Counts as of (months)</t>
  </si>
  <si>
    <t>Cumulative Reported Claims ($)</t>
  </si>
  <si>
    <t>Now we can create a development triangle on the B-S adjusted reported claims</t>
  </si>
  <si>
    <t>Age-To-Age Factors</t>
  </si>
  <si>
    <t>Avg. ATA</t>
  </si>
  <si>
    <t>Selected ATA</t>
  </si>
  <si>
    <t>AY 2017 Ultimate</t>
  </si>
  <si>
    <t>adjusted average case outstanding</t>
  </si>
  <si>
    <t>ay</t>
  </si>
  <si>
    <t>disposal rate</t>
  </si>
  <si>
    <t>Selected disposal rate</t>
  </si>
  <si>
    <t>Select cy 2016 diagonal as disposal rate based on instructions.</t>
  </si>
  <si>
    <t>adjusted closed claim counts</t>
  </si>
  <si>
    <t>adjusted open claim counts</t>
  </si>
  <si>
    <t>adjsuted reported claims</t>
  </si>
  <si>
    <t>Reported claim ldfs</t>
  </si>
  <si>
    <t>48 - Ult</t>
  </si>
  <si>
    <t>sel</t>
  </si>
  <si>
    <t>This is just a simple check of paid method for reasonability</t>
  </si>
  <si>
    <t>select average ldfs assuming random volatility for 12-24, 24-36, 36-48 facotrs and judgementally select 1.1 taking into account the paid 48- ult factor and reported LDFs</t>
  </si>
  <si>
    <t>Ultimate Loss &amp; ALAE</t>
  </si>
  <si>
    <t>Cumulative Reported Claims Gross of Reinsurance</t>
  </si>
  <si>
    <t>($000) as of (months)</t>
  </si>
  <si>
    <t>48-ultimate reported claim development factor</t>
  </si>
  <si>
    <t>Percentage ceded by the company under a quota share treaty for each accident year</t>
  </si>
  <si>
    <t>Stop Loss</t>
  </si>
  <si>
    <t>Attachment</t>
  </si>
  <si>
    <t>Point ($000)</t>
  </si>
  <si>
    <t>•    The aggregate stop loss treaty is applied after the quota share for each year.</t>
  </si>
  <si>
    <t>•    The stop loss treaty covers all losses above the attachment point.</t>
  </si>
  <si>
    <t>Estimate the ultimate claims net of all reinsurance for accident years 2014 through 2017 using</t>
  </si>
  <si>
    <t>the development technique.</t>
  </si>
  <si>
    <t>Calculate the ceded IBNR for accident year 2017.</t>
  </si>
  <si>
    <t>Briefly describe the relationship between gross and net tail factors for each of the following reinsurance arrangements:</t>
  </si>
  <si>
    <t>i. Stop Loss</t>
  </si>
  <si>
    <t>ii. Quota Share</t>
  </si>
  <si>
    <t>cumulative reported claims net of quota share treaty</t>
  </si>
  <si>
    <t>cumulative reported claims net of quota share treaty LDF</t>
  </si>
  <si>
    <t>ultimate claims net of quota share treaty($000)</t>
  </si>
  <si>
    <t>ultimate claim net of both($000)</t>
  </si>
  <si>
    <t>Assume that this is asking for the ceded IBNR for AY 2017 as of 12/31/2017</t>
  </si>
  <si>
    <t>cumulaive gross reorted claims LDF</t>
  </si>
  <si>
    <t xml:space="preserve">AY 2017 gross ultimate claims ($000) = </t>
  </si>
  <si>
    <t xml:space="preserve">AY 2017 IBNR as of 12/31/2017($000) = </t>
  </si>
  <si>
    <t xml:space="preserve">IBNR ceded by quota share treaty($000) = </t>
  </si>
  <si>
    <t xml:space="preserve">IBNR ceded by stop loss treaty($000) = </t>
  </si>
  <si>
    <t xml:space="preserve">IBNR ceded by both ($000) = </t>
  </si>
  <si>
    <t>i</t>
  </si>
  <si>
    <t>For stop loss treaty,</t>
  </si>
  <si>
    <t>gross tail factor would be larger than net tail factor, because once the attachment point is hit,</t>
  </si>
  <si>
    <t xml:space="preserve">the net tail triangle would be limited, while the gross tail triangle has unlimited claim development potential. </t>
  </si>
  <si>
    <t>Thus the gross tail factor would be large than the net tail factor.</t>
  </si>
  <si>
    <t>ii</t>
  </si>
  <si>
    <t>For quota share treaty,</t>
  </si>
  <si>
    <t>the net tail triangle is just a constant % of the gross tail triangle,</t>
  </si>
  <si>
    <t xml:space="preserve">thus the net tail factor would be the same as the gross tail factor. </t>
  </si>
  <si>
    <t>36'-48</t>
  </si>
  <si>
    <t>Ult Claims</t>
  </si>
  <si>
    <t>after Quota Share</t>
  </si>
  <si>
    <t>after Stop Loss</t>
  </si>
  <si>
    <t>ult claims net of all reinsurance</t>
  </si>
  <si>
    <t>Net of reinsurance</t>
  </si>
  <si>
    <t>Ceded amount</t>
  </si>
  <si>
    <t>Reported Ceded</t>
  </si>
  <si>
    <t>Ceded IBNR</t>
  </si>
  <si>
    <t>Stop loss is applied when gross loss hits the attachment point. Any loss excess of the attachment point will be ceded. Mostly, gross factors are larger than net tail facotrs for Stop loss</t>
  </si>
  <si>
    <t>Quota share is applied with promised %.Certain percentage of gross losses are ceded. Gross and net tail facotrs are same for Quota share.</t>
  </si>
  <si>
    <t>Calendar</t>
  </si>
  <si>
    <t>Paid</t>
  </si>
  <si>
    <t>Incurred</t>
  </si>
  <si>
    <t>ULAE ($)</t>
  </si>
  <si>
    <t>Claims ($)</t>
  </si>
  <si>
    <t>paid ulae/paid claims</t>
  </si>
  <si>
    <t>Accident Year 2017</t>
  </si>
  <si>
    <t>Case outstanding</t>
  </si>
  <si>
    <t xml:space="preserve">The paid ulae to paid claims ratio is decreasing each year, so choose the latest year to be most representative of the future years. </t>
  </si>
  <si>
    <t>Total IBNR</t>
  </si>
  <si>
    <t>Percent of total IBNR attributed to future case development on known claims</t>
  </si>
  <si>
    <t>selecte paid ulae/paid claims ratio</t>
  </si>
  <si>
    <t>IBNER</t>
  </si>
  <si>
    <t>Estimate unpaid ULAE for accident year 2017 using the classical technique where 100% of the paid to paid ratio is</t>
  </si>
  <si>
    <t>IBNYR</t>
  </si>
  <si>
    <t>applied only to the claims incurred but not yet reported (IBNYR). Briefly justify the selected ULAE ratio.</t>
  </si>
  <si>
    <t>unpaid ulae for ay 2017</t>
  </si>
  <si>
    <t>Estimate unpaid ULAE for accident year 2017 using the Kittel refinement where 100% of the paid to paid ratio is</t>
  </si>
  <si>
    <t>applied only to the IBNYR.</t>
  </si>
  <si>
    <t>avg of paid and incurred claims</t>
  </si>
  <si>
    <t>paid ulae/ avg of paid and incurred claims</t>
  </si>
  <si>
    <t>Identify a scenario that distorts the classical technique and briefly explain how it is addressed by the Kittel refinement.</t>
  </si>
  <si>
    <t xml:space="preserve">While the paid ulae to avg of paid and incurred claims ratios are more stable, they are still decreasing throughout the years.  Therefore, select the latest years ratio again to be most indicative of future years. </t>
  </si>
  <si>
    <t>selected paid ulae/ avg of paid and incurred claims ratio</t>
  </si>
  <si>
    <t>unpaid ulae ay 2017</t>
  </si>
  <si>
    <t xml:space="preserve">The classical technique is distorted when a business is growing or shrinking.  The kittel refinement addresses this by using an average of paid and incurred claims instead of just paid claims.  When a business is growing or shrinking, the case reserves tend to show the changes faster, so by taking the average of the incurred claims and paid claims, the kittel refinement reflects the changes to the business before the classical technique does. </t>
  </si>
  <si>
    <t>Ultimate Claims</t>
  </si>
  <si>
    <t>Reported Claims</t>
  </si>
  <si>
    <t>as of</t>
  </si>
  <si>
    <t>Selected Reported Claims Age-to-Age Factors</t>
  </si>
  <si>
    <t>6-12</t>
  </si>
  <si>
    <t>12-18</t>
  </si>
  <si>
    <t>18-24</t>
  </si>
  <si>
    <t>24-30</t>
  </si>
  <si>
    <t>30-36</t>
  </si>
  <si>
    <t>36-42</t>
  </si>
  <si>
    <t>42-48</t>
  </si>
  <si>
    <t>48-Ult</t>
  </si>
  <si>
    <t>Compare the actual versus expected claims reported between June 30, 2017 and December 31, 2017 for each accident year.</t>
  </si>
  <si>
    <t>Briefly describe two scenarios that would result in reported claims emerging lower than expected.</t>
  </si>
  <si>
    <t>Briefly describe two scenarios that would result in reported claims emerging higher than expected.</t>
  </si>
  <si>
    <t>Age-to-Ult</t>
  </si>
  <si>
    <t>Age-to-Ult + 1</t>
  </si>
  <si>
    <t>Exp Emergence</t>
  </si>
  <si>
    <t>Actual</t>
  </si>
  <si>
    <t>AvE</t>
  </si>
  <si>
    <t>One scenario would be if there was a decrease in case reserve adequacy.</t>
  </si>
  <si>
    <t>Another scenario is if there was an improving claims ratio.</t>
  </si>
  <si>
    <t>One scenario would be if there is an increase in case reserve adequay</t>
  </si>
  <si>
    <t>Another scenario would be a deteriorating claims ratio.</t>
  </si>
  <si>
    <t>a.)</t>
  </si>
  <si>
    <t>% Reported as of June 30, 2017</t>
  </si>
  <si>
    <t>IBNR as of December 31, 2017</t>
  </si>
  <si>
    <t>% Reported as of December 31, 2017</t>
  </si>
  <si>
    <t>Expected Emergence</t>
  </si>
  <si>
    <t>Expected Reported as of December 31, 2017</t>
  </si>
  <si>
    <t>Difference in actual vs expected</t>
  </si>
  <si>
    <t>b.)</t>
  </si>
  <si>
    <t>A decrease in case reserve adequacy has occur causing lower than expected claims</t>
  </si>
  <si>
    <t>Closing of a claim with a large case reserve on it that never got paid, causes reported claims to drop.</t>
  </si>
  <si>
    <t>c.)</t>
  </si>
  <si>
    <t>A large unexpected claim was reported causing an increase in reported claims</t>
  </si>
  <si>
    <t>The business is growing rapidly and the new business is unexpectingly causing an increase in reported losses that were not accounted for previously</t>
  </si>
  <si>
    <t>As of month</t>
  </si>
  <si>
    <t>Expected reported</t>
  </si>
  <si>
    <t>Difference</t>
  </si>
  <si>
    <t>If there is a assumed to be a large loss got settled very quick and it got settle to a very small payment</t>
  </si>
  <si>
    <t>If the reserve adequacy has been increasd but actuary doesn't know, and use reported development method and estimated</t>
  </si>
  <si>
    <t>a overestimate Ult Claim</t>
  </si>
  <si>
    <t>if there is a law change that increase the severity of the reporting claim.</t>
  </si>
  <si>
    <t>If there is policy limit increase</t>
  </si>
  <si>
    <t>The following table summarizes the results of various claim projection techniques</t>
  </si>
  <si>
    <t>as of December 31, 2017 in total for all accident years:</t>
  </si>
  <si>
    <t>Projection Technique</t>
  </si>
  <si>
    <t>Ultimate Claims Estimate</t>
  </si>
  <si>
    <t>Reported Development</t>
  </si>
  <si>
    <t>Expected Claims</t>
  </si>
  <si>
    <t>Reported Bornhuetter-Ferguson</t>
  </si>
  <si>
    <t>Paid Bornhuetter-Ferguson</t>
  </si>
  <si>
    <t>Reported Berquist-Sherman</t>
  </si>
  <si>
    <t>Paid Berquist-Sherman</t>
  </si>
  <si>
    <t>•    There are no large losses.</t>
  </si>
  <si>
    <t>Describe how an operational change could be causing the variation in the</t>
  </si>
  <si>
    <t>ultimate claims estimates.</t>
  </si>
  <si>
    <t xml:space="preserve">Identify and briefly describe how two diagnostics could indicate the presence </t>
  </si>
  <si>
    <t>of the operational change identified in part a. above.</t>
  </si>
  <si>
    <t>Identify and briefly describe a diagnostic that highlights the similarity between</t>
  </si>
  <si>
    <t>the paid development technique and paid Berquist-Sherman technique estimates.</t>
  </si>
  <si>
    <t>unadjusted reported techniques are giving high estimates, while paid are giving lower estimates, which are in line with adjusted BS reported results</t>
  </si>
  <si>
    <t>this suggests reported methods are overstated, and paid methods are accurate</t>
  </si>
  <si>
    <t>this could result from an increase in case strengthening, since it will artificially inflate the values along the latest reported diagonals, while not affecting paids</t>
  </si>
  <si>
    <t>calculate the ratio of case outstanding to open claim counts to get average case outstanding</t>
  </si>
  <si>
    <t>if there has been case reserve strengthening, this triangle should be increasing as you go down each column</t>
  </si>
  <si>
    <t>calculate the ratio of paid to reported claims</t>
  </si>
  <si>
    <t>if there has been case reserve stregthening, these ratios sholud be decreasing down each column</t>
  </si>
  <si>
    <t>calculate the disposal rate triangle, closed counts/ultimate counts</t>
  </si>
  <si>
    <t>these ratios will likely be stable down each column, indicating that there is no need to make the paid BS adjustment, since the disposal rates are already stable for each accident year</t>
  </si>
  <si>
    <t>An increase in case reserve adequacy, for example, could cause the Reported Development technique to overestimate ultimates,the Reported B-F technique to overestimate ultimates to a lesser degree, and leave the Paid methods unaffected.</t>
  </si>
  <si>
    <t>The Reported Berquist-Sherman method would adjust for the change in case reserve adequacy.  The Expected claims method would be the most stable, least responsive of the abovementioned projection techniques.</t>
  </si>
  <si>
    <t>Thus, a change in the case would affect some methods more than others, and others wouldn't be affected at all.  This is what causes the variation in ultimate claims estimates.</t>
  </si>
  <si>
    <t>Average Case per Open Claim</t>
  </si>
  <si>
    <t>Increasing Average Case per Open Claim could imply that the case reserve adequacy is increasing, especially if it is increasing for the latest diagonal (if the strengthening case reserves apply to all Accident Years.)</t>
  </si>
  <si>
    <t>Paid to Reported</t>
  </si>
  <si>
    <t>If the ratio of Paid Claims to Reported Claims is decreasing along the latest diagonal, then it could indicate that the case reserve adequacy increased for all accident years effective sometime during the calendar year.</t>
  </si>
  <si>
    <t>Disposal Rate = Cumulative Closed Claims / Ultimate Claim Counts</t>
  </si>
  <si>
    <t xml:space="preserve">A triangle of the disposal rates could show that the settlement rates are stable, thus showing that little to no adjustment was needed for the Paid Berquist-Sherman method.  </t>
  </si>
  <si>
    <t>If the disposal rates for each age are close to the latest diagonal of disposal rates, then there is very little or no adjustment done to the Paid amounts for the Paid B-S mehod, meaning that the Paid Development and Paid B-S method would show similar results.</t>
  </si>
  <si>
    <t>If there were a change in settlement rates, then the Paid Development method would be distorted, and the Paid B-S method would adjust for this, leading to the two methods' ultimates being very different.</t>
  </si>
  <si>
    <t>An insurance company expanded its product offering into a new state last year.</t>
  </si>
  <si>
    <t>Briefly discuss an advantage and disadvantage of using the following data to determine</t>
  </si>
  <si>
    <t>loss trend for this state:</t>
  </si>
  <si>
    <t>Competitor filings</t>
  </si>
  <si>
    <t>Internal company data</t>
  </si>
  <si>
    <t>Explain the loss development and trending overlap fallacy.</t>
  </si>
  <si>
    <t>I. advantage:  available, may be helpful if you have little or no experience</t>
  </si>
  <si>
    <t>disadvantage: we don't know what their marketing and Underwriting practices are like and so we cannot make any adjustments to the data; we also don't know the level of credibility of their data</t>
  </si>
  <si>
    <t>ii. Advantage:  the advantage to internal data is that it is readily available in house and it is based on our own company practices</t>
  </si>
  <si>
    <t>disadvatage: we don't have experience in this new state, but can use other state data as a crediblility complement</t>
  </si>
  <si>
    <t>some say you are double-counting when you apply both loss development and trending</t>
  </si>
  <si>
    <t>however, that is not true because</t>
  </si>
  <si>
    <t>loss development only projects the ultimate losses for a past time period  -- it doesn't project losses to a future time period</t>
  </si>
  <si>
    <t>trending moves your losses through time, from the historical period to the projected period</t>
  </si>
  <si>
    <t>you need both adjustments to get projected ultimate losses for the period you are analyzing</t>
  </si>
  <si>
    <t>Advantage: Data is readily available</t>
  </si>
  <si>
    <t>Disadvantage: Competitor's mix of business may not match that of the company</t>
  </si>
  <si>
    <t>Advantage: Data contains the appropriate mix of business</t>
  </si>
  <si>
    <t>Disadvantage: Only a year of internal data is available for this new product</t>
  </si>
  <si>
    <t>It may seem that loss development and trending both develop a loss, producing a compounded effect.</t>
  </si>
  <si>
    <t>However, they serve different purposes. Loss development focuses on the growth of a claim itself due to additional incurred losses/LAE while trending focuses on external factors such as inflation, changes in max benefit, etc.</t>
  </si>
  <si>
    <t>i. advantage: it is easily got and can apply directly.</t>
  </si>
  <si>
    <t>disadvatage; the rate filling may not suitable fot this company for the different exposure distribution and underwriting policy.</t>
  </si>
  <si>
    <t>ii.adv: it can reflect the company's own situation, like underwriting policy etc.</t>
  </si>
  <si>
    <t>diadv: since it is a new state, the company's data may not fit this state's situation.</t>
  </si>
  <si>
    <t>loss development is develop the loss to ultimate level, trending is to adjust for the benefit level change or loss inflation. These two are two different thing, there isn't any overlap.</t>
  </si>
  <si>
    <t>I might use competitor rates as a complement to credibility because it is intuitive. However, it may not be ideal if the competitor has different underwriting standards or a different distribution of business/exposures.</t>
  </si>
  <si>
    <t>D.</t>
  </si>
  <si>
    <t>Disadvantage: Classical credibility does not take into account the probability distribution of claims, like Buhlmann credibility does.</t>
  </si>
  <si>
    <t>Classical credibility is easy to calculate</t>
  </si>
  <si>
    <t>Advantage:</t>
  </si>
  <si>
    <t>C.</t>
  </si>
  <si>
    <t>An exposure standard may be more appropriate if there have been changing definitions of a claim over time.</t>
  </si>
  <si>
    <t>exposures for Collision</t>
  </si>
  <si>
    <t>and we need</t>
  </si>
  <si>
    <t>exposures for BI</t>
  </si>
  <si>
    <t xml:space="preserve">We need </t>
  </si>
  <si>
    <t>Since we need 1082 claims for full credibility, we need to use the frequency above to calculate the number of exposures for 1082 claims</t>
  </si>
  <si>
    <t>Collision</t>
  </si>
  <si>
    <t>BI</t>
  </si>
  <si>
    <t>Assuming frequency remains constant across years for each coverage, I will take a straight average of frequency:</t>
  </si>
  <si>
    <t>Bodily Injury</t>
  </si>
  <si>
    <t>Frequency</t>
  </si>
  <si>
    <t>Propose a complement of credibility for the indication analysis and briefly evaluate the proposed complement.</t>
  </si>
  <si>
    <t>Briefly describe one advantage and one disadvantage of using classical credibility.</t>
  </si>
  <si>
    <t>Briefly explain why an actuary may prefer using an exposure standard for full credibility over a claim standard.</t>
  </si>
  <si>
    <t>Calculate the number of exposures needed for full credibility for each coverage.</t>
  </si>
  <si>
    <t>Claim counts standard for full credibility</t>
  </si>
  <si>
    <t>Coverage</t>
  </si>
  <si>
    <t>Given the following information for State A:</t>
  </si>
  <si>
    <t>An actuary uses classical credibility to develop full credibility standards for a private passenger auto indication.</t>
  </si>
  <si>
    <t>is easy to compute, and has a logical relationship to state A (since they're neighbouring states).</t>
  </si>
  <si>
    <t>is unlikely to be statistically independent from the base statistic i.e. state A (especially if they're neighbouring states),</t>
  </si>
  <si>
    <t>This complement of credibility would be accurate (otherwise choose another neighbouring state), is unlikely to be unbiased,</t>
  </si>
  <si>
    <t>A complement of credibility would be to use private passenger auto data for a neighbouring state.</t>
  </si>
  <si>
    <t>A disadvantage of using classical credibility is that it requires several simplifying assumptions that may not hold true in some cases.</t>
  </si>
  <si>
    <t>An advantage of using classical credibility is that it's easy to compute.</t>
  </si>
  <si>
    <t>while claims counts' definition has changed over the years.</t>
  </si>
  <si>
    <t xml:space="preserve">An actuary may prefer using an exposure standard for full credibility if exposures are clearly defined and mix of exposures is homogeneous, </t>
  </si>
  <si>
    <t>For Collision, the number of exposures needed for full credibility is</t>
  </si>
  <si>
    <t>For Bodily Injury, the number of exposures needed for full credibility is</t>
  </si>
  <si>
    <t xml:space="preserve">I would recommend using regional data from several states including State A. This would be a valid complement of credibility as long as State A does not make up the majority of the data as it wouldn't be an independent complement of credibility. It has a logical relationship to state A and because PP Auto is heavily regulated there should be a sufficient amount of data that is easily attainable. Because within the same region wouldn't expect losses to be very biased and to be reasonably accurate </t>
  </si>
  <si>
    <t>(-) The classical credibility technique assumes that frequency is constant and only severity varies between the complement and subject base</t>
  </si>
  <si>
    <t>(+) Classical credibility is a simple and commonly accepted credibility calculation</t>
  </si>
  <si>
    <t>If the definition of a claim has changed it would be better to use exposure standard. For example if a claims closed with no payment were previously included in the claim count and now are not it would be hard to get and accurate measure of number of claims</t>
  </si>
  <si>
    <t>Exposures Needed</t>
  </si>
  <si>
    <t>Claims Needed</t>
  </si>
  <si>
    <t>Selected frequency from the most recent year to reflect current environment</t>
  </si>
  <si>
    <t>xCAT</t>
  </si>
  <si>
    <t>TL losses</t>
  </si>
  <si>
    <t>Based on the information provided in the question, I am assuming the question is asking for the ELF for losses xCAT</t>
  </si>
  <si>
    <t>(a.)</t>
  </si>
  <si>
    <t>Describe one reason to use an excess loss factor when setting property insurance rates.</t>
  </si>
  <si>
    <t>Calculate the excess loss factor.</t>
  </si>
  <si>
    <t>•    There is no further development on losses.</t>
  </si>
  <si>
    <t>•    Ground-up loss of this fire claim is $1,000,000.</t>
  </si>
  <si>
    <t>•    In 2016, one fire claim occurred for the insurer as the result of a forest fire, causing $25 million direct insured losses in the industry.</t>
  </si>
  <si>
    <t>•    All flood claims were caused by a single flood event that occurred in 2014, causing $500 million direct insured losses in the industry.</t>
  </si>
  <si>
    <t>•    The definition of catastrophe losses is $25 million in losses across the industry.</t>
  </si>
  <si>
    <t>The insurer's claims information relating to all major events that occurred in the past 3 years are:</t>
  </si>
  <si>
    <t>Excess loss threshold used by the insurer for individual reported losses</t>
  </si>
  <si>
    <t>&gt; $500,000</t>
  </si>
  <si>
    <t>0-$500,000</t>
  </si>
  <si>
    <t>Sizes of loss</t>
  </si>
  <si>
    <t>Given the following loss data for a property insurer:</t>
  </si>
  <si>
    <t>excess factor</t>
  </si>
  <si>
    <t>excess/non-excess</t>
  </si>
  <si>
    <t>excess non-cat losses</t>
  </si>
  <si>
    <t>capped losses</t>
  </si>
  <si>
    <t>Excess Losses =</t>
  </si>
  <si>
    <t>Ground-up losses =</t>
  </si>
  <si>
    <t>Excess Factor applied to losses limited to $500,000 =</t>
  </si>
  <si>
    <t>I will assume that all the catastrophe claims are part of the excess loss factor, and not anothcat charge that is added.</t>
  </si>
  <si>
    <t>this promotes stability and results in more stibility in rates over time.</t>
  </si>
  <si>
    <t>of excess losses, and lower them when there have been few. It is better to use a long-term average of excess losses as</t>
  </si>
  <si>
    <t>previous year of few years, the insurer would overreact. They may raise rates more than necessary when there have been a large amount</t>
  </si>
  <si>
    <t>Excess losses can be volatile from one year to another. If the insurer were to file rates that react to the losses that occurred in the</t>
  </si>
  <si>
    <t>The paid development technique is not appropiate, since the there will be an elevated loss in the accident year at an earlier maturity compared to prior years. When historical LDF are applied to this large loss, it will cause this technique to overestimate ultimate losses.</t>
  </si>
  <si>
    <t>The reported B-F technique is appropiate in this situation, since the large loss will be included in the ultimate estimate, but unreported claims will be based off of an aprior estimation of claims (the expected claims ratio) which will be unaffected by this large loss.</t>
  </si>
  <si>
    <t>The paid technique doesn’t utilize premium information to develop losses to ultimate, so this technique is unaffected, and therefore appropiate with this issue.</t>
  </si>
  <si>
    <t>The reported B-F technique may still be appropiate, if the expected claims ratio is calculated based on aprior expectation of losses. Otherwise not appropiate.</t>
  </si>
  <si>
    <t>The paid development tedchnique will not be appropiate since there is a speedup in the settlement of claims, which will cause this technique to overstimate ultimate losses.</t>
  </si>
  <si>
    <t>The reported B-F technique is not affected by this change in settlement of claims (assuming this change doesn't change reporting patterns), since the reported development technique and expected claims technique will be unaffected. Therefore this technique is appropiate.</t>
  </si>
  <si>
    <t>The paid development technique is not affected by changes in frequency/severity/loss ratios. In fact it is responsive to these changes. Therefore this technique would be appropiate.</t>
  </si>
  <si>
    <t>The reported B-F technique is not appropiate in this situation. While the reported development technique will be unaffected, an increase in severity will increase loss ratios, which will affect the expected claims technique. This change will cause the expected claims technique to underestimate losses.</t>
  </si>
  <si>
    <t xml:space="preserve">The paid development technique would not be appropriate. It would overestimate the ultimate claims. Since this shock loss has been paid early on in the AY, it would not be expected for historical development patterns to continue on this claim. </t>
  </si>
  <si>
    <t xml:space="preserve">The reported BF technique would still be appropriate. The loss would be accounted for in the first part of the calculation (taking reported losses to date). IBNR would be calculated relying on expected claims for the AY, which would not be affected by the shock loss. </t>
  </si>
  <si>
    <t>The paid development technique would still be appropriate because on-leveling premium is not necessary in this technique. Losses are developed separately with no premium required in this calculation.</t>
  </si>
  <si>
    <t>The Reported BF technique would not be appropriate. Premium needs to be on-leveled in order to calculate a reasonable expected claims ratio. If the expected claims ratio is inaccurate, this would result in an inaccurate calculation of the IBNR.</t>
  </si>
  <si>
    <t>The paid development technique would not be appropriate. The increase in settlement rate would result in more claims being paid out earlier on. These claims would not expect to see the same development pattern as historical LDFs would imply. The paid development technique would overestimate ultimate losses.</t>
  </si>
  <si>
    <t>The Reported BF technique would not be affected by a change in claims settlement rate. This would only have an impact on paid claims, as reported amounts would not change.</t>
  </si>
  <si>
    <t>The paid development technique would still be appropriate. The higher severity trend would result in a detiorating loss ratio, and the paid development technique would fully react to this recent change. The trend would not impact historical development patterns.</t>
  </si>
  <si>
    <t>The Reported BF technique would not be appropriate. The ECR would be calculated relying on a lower severity trend, and thus the ECR would be understated. The Reported BF technique would understate ultimate losses and would not fully react to this detiorating loss ratio due to the higher severity trend.</t>
  </si>
  <si>
    <t>The paid development method will overestimate ultimate losses</t>
  </si>
  <si>
    <t>by applying historical LDFs to an unusually high level of paid loss (due to the shock loss) in the latest period.</t>
  </si>
  <si>
    <t>The reported BF method is a good choice to estimate ultimate losses because</t>
  </si>
  <si>
    <t>it will account for the shock loss but future development will be estimated</t>
  </si>
  <si>
    <t>based on expected losses, giving an accurate estimate.</t>
  </si>
  <si>
    <t>The paid development method will be appropriate because</t>
  </si>
  <si>
    <t>the estimate does not depend on historical premium,</t>
  </si>
  <si>
    <t>so a history of rate changes is not necessary.</t>
  </si>
  <si>
    <t>The reported BF method will not be appropriate if the expected loss component is</t>
  </si>
  <si>
    <t>to be calculated as an expected loss ratio times premium,</t>
  </si>
  <si>
    <t>because the lack of accurate rate change history will</t>
  </si>
  <si>
    <t>make it difficult to estimate an expected loss ratio from historical data.</t>
  </si>
  <si>
    <t>by applying historical LDFs to the higher level of paid losses</t>
  </si>
  <si>
    <t>on the latest diagonal.</t>
  </si>
  <si>
    <t>The reported BF method will be appropriate because it is not impacted</t>
  </si>
  <si>
    <t>by the rate of claim settlement, provided there is no change</t>
  </si>
  <si>
    <t>to the reporting pattern.</t>
  </si>
  <si>
    <t>The paid development method will be appropriate because it is not impacted</t>
  </si>
  <si>
    <t>by deterioriating results.</t>
  </si>
  <si>
    <t>The expected loss component of the reported BF method will underestimate</t>
  </si>
  <si>
    <t>ultimate loss since it will not account for the increased severity trend;</t>
  </si>
  <si>
    <t>thus the BF method will underestimate ultimate loss to some extent,</t>
  </si>
  <si>
    <t>particularly for immature accident periods.</t>
  </si>
  <si>
    <t>The selected ultimate loss estimate for 2017 is significantly higher than other years, despite lower than average paid amounts, and could significantly distort the Ultimate ALAE estimate if the Ratio method is used.</t>
  </si>
  <si>
    <t>I would select the result from the ALAE development method, it has reasonable losses for credibility and stable development factors.</t>
  </si>
  <si>
    <t>ALAE</t>
  </si>
  <si>
    <t>Ratio</t>
  </si>
  <si>
    <t>Loss Ratio</t>
  </si>
  <si>
    <t>Paid ALAE/</t>
  </si>
  <si>
    <t>Select</t>
  </si>
  <si>
    <t>Paid ALAE/Loss Ratio Age-to-Age Factors</t>
  </si>
  <si>
    <t>2017 Ult ALAE</t>
  </si>
  <si>
    <t>Paid ALAE Age-to-Age Factors</t>
  </si>
  <si>
    <t>Recommend and briefly justify an estimate of ultimate ALAE for accident year 2017 from the results of parts a. and b. above.</t>
  </si>
  <si>
    <t>Estimate ultimate ALAE for all accident years using the paid ALAE-to-paid claims only development technique with additive factors.</t>
  </si>
  <si>
    <t>Estimate ultimate ALAE for accident year 2017 using the paid ALAE development technique.</t>
  </si>
  <si>
    <t>Claim Count</t>
  </si>
  <si>
    <t>($000)</t>
  </si>
  <si>
    <t>Technique</t>
  </si>
  <si>
    <t>Development</t>
  </si>
  <si>
    <t>Reported Claim</t>
  </si>
  <si>
    <t>Ratio of Paid ALAE-to-Paid Claims as of (months)</t>
  </si>
  <si>
    <t>Cumulative Paid Claims ($000) as of (months)</t>
  </si>
  <si>
    <t>Cumulative Paid ALAE ($000) as of (months)</t>
  </si>
  <si>
    <t>&lt;- estimate</t>
  </si>
  <si>
    <t>Additionally, and more importantly, using the ratio approach, we are able to recognize the unusal changes in ratio, and adjust for them by selecting something else. This way we were able to adjust for the unreasonable ratio.</t>
  </si>
  <si>
    <t xml:space="preserve">This is why I will recommend using the ratio approach from part b, since it leads to more stable estimates. </t>
  </si>
  <si>
    <t>The .14 ult ratio this leads to is likely inappropiate given our historical data.</t>
  </si>
  <si>
    <t>As alluded to in part b above, the .08 paid ALAE to paid claims ratio for AY 2017 appears to be an outlier due to a decrease in paid claims.</t>
  </si>
  <si>
    <t>&lt;- Ult claims for AY 2017 if we used the reported ultimate claims instead of the selected claims.</t>
  </si>
  <si>
    <t>Therefore, I will select the more reasonable .1 as the ult ALAE-paid-claims ratio for 2017.</t>
  </si>
  <si>
    <t xml:space="preserve">We can see from the Ult ALAE-to-paid-Claims ratio that 2017 is an outlier year, and likely isn't appropiate to use/select when it comes to estimating ALAE. </t>
  </si>
  <si>
    <t>Ult ALAE, Adjusted for 2017 - Using Selected Ultimate Claims</t>
  </si>
  <si>
    <t>Ult ALAE</t>
  </si>
  <si>
    <t>Ult ALAE Ratio</t>
  </si>
  <si>
    <t>Selected:</t>
  </si>
  <si>
    <t>ALAE Ratio Developemnt LDF's</t>
  </si>
  <si>
    <t>Ult ALAE (000's)</t>
  </si>
  <si>
    <t>48 to ult</t>
  </si>
  <si>
    <t>36 to ult</t>
  </si>
  <si>
    <t>24 to ult</t>
  </si>
  <si>
    <t>12 to ult</t>
  </si>
  <si>
    <t>36 to 48</t>
  </si>
  <si>
    <t>24 to 36</t>
  </si>
  <si>
    <t>12 to 24</t>
  </si>
  <si>
    <t>ALAE Developemnt LDF's</t>
  </si>
  <si>
    <t>mistakes in the estimation of ultimate paid claims, the ratio method will project a more reliable estimate of ultimate ALAE.</t>
  </si>
  <si>
    <t xml:space="preserve"> to be used as a diagnostic and recognizes the inherent relationship of ALAE to claims dollars. As long as there are no </t>
  </si>
  <si>
    <t>credible data at this maturity for ALAE to base ultimate estimates. The ratio method allows the ratio of ALAE to claims</t>
  </si>
  <si>
    <t xml:space="preserve">The development method's CDF at this early maturity is highly leveraged at 13.20. There doesn’t seem to be enough </t>
  </si>
  <si>
    <t>I would recommend the estimate for ultimate 2017 ALAE in part b, using the paid alae to paid claims ratio method.</t>
  </si>
  <si>
    <t>Claims CDF</t>
  </si>
  <si>
    <t>Ratio CDF</t>
  </si>
  <si>
    <t>Paid Claim Ratio</t>
  </si>
  <si>
    <t>Additive</t>
  </si>
  <si>
    <t>Paid ALAE to</t>
  </si>
  <si>
    <t>Average</t>
  </si>
  <si>
    <t>Age-to-Age Paid Claims as of (months)</t>
  </si>
  <si>
    <t>Additive Age-to-Age of Paid ALAE-to-Paid Claims Ratios</t>
  </si>
  <si>
    <t>Assuming Additive Factors are only for ALAE-to-Claims Ratio</t>
  </si>
  <si>
    <t>Avg</t>
  </si>
  <si>
    <t>Age-to-Age Paid ALAE as of (months)</t>
  </si>
  <si>
    <t>Therefore I will pick method b only because of how leveraged the CDF is, the choice is more concervative, and I was able to correct for the strange ultimate claims estimate in 2017 by choosing the reported method. Ans: 4900</t>
  </si>
  <si>
    <t xml:space="preserve">Both methods appear to be distorted in one way or another. </t>
  </si>
  <si>
    <t>I am also concerned by potential errors in the ultimate claims estimate that could distort the ratio approach</t>
  </si>
  <si>
    <t>I am concerned by the high ALAE ratio for 2017 in part b, as the ratio method assumes a stead relationship between paid claims and ALAE.</t>
  </si>
  <si>
    <t>I don't recommend the estimate from part a only because the CDF for the age 12 ALAE is very leveraged (value of 13.2)</t>
  </si>
  <si>
    <t>Therefore I will use the selected ultimate claims for 2014 to 2016 but choose the reported developmetn methods ultimate claims for 2017</t>
  </si>
  <si>
    <t>I'm not sure where the selected ultimate claims came from, but the 2017 figures seem unreasonable espcially given the drop in paid claims</t>
  </si>
  <si>
    <t>There was a drop in Paid claims  in 2017 age 12 that led to a spike in the ALAE ratio for this yaer.</t>
  </si>
  <si>
    <t>We are given multiple options for an ultimate claim estimate</t>
  </si>
  <si>
    <t>We need to apply the Ultimate ALAE ratios to ultimate claims to get an ultimate ALAE estimate</t>
  </si>
  <si>
    <t>Perform development technique on paid alae ratio triangle, with additive factors</t>
  </si>
  <si>
    <t>Ultimate ALAE for 2017</t>
  </si>
  <si>
    <t>Age to age</t>
  </si>
  <si>
    <t>Perform development technique on paid alae triangle</t>
  </si>
  <si>
    <t>also it could self-correct for abnormal ratios.</t>
  </si>
  <si>
    <t>it also takes the relationship between ALAE and paid claims into account,</t>
  </si>
  <si>
    <t>because the ratio approach is much less volatile than the dollar amount approach,</t>
  </si>
  <si>
    <t>use the result from b, $3,500,000</t>
  </si>
  <si>
    <t>Estimated ult ALAE $000</t>
  </si>
  <si>
    <t>Esti ult claims</t>
  </si>
  <si>
    <t>Corrected ult ratio</t>
  </si>
  <si>
    <t>Since we are using the ratio for ultimate, so I would correct the ratio here, to the same previous level of 0.10</t>
  </si>
  <si>
    <t>* also we could see that the 2017 12-month ALAE-to-paid claims ratio has a sharp increase, mainly due to a drop in paid claims for AY 2017 12 months.</t>
  </si>
  <si>
    <t>because paid claims would eventually equal to reported claims, so use the reported development method result</t>
  </si>
  <si>
    <t>* Here the estimated ultimate claims using rept dev or paid dev methods are only different for AY 2017</t>
  </si>
  <si>
    <t>Esti ult claims using rept dev</t>
  </si>
  <si>
    <t>Esti ult claims using paid dev</t>
  </si>
  <si>
    <t>Esti ult ratio</t>
  </si>
  <si>
    <t>age-ult</t>
  </si>
  <si>
    <t>36--48</t>
  </si>
  <si>
    <t>24--36</t>
  </si>
  <si>
    <t>12--24</t>
  </si>
  <si>
    <t>Cumulative Paid Claims Development Factors</t>
  </si>
  <si>
    <t>Ratio of Paid ALAE-to-Paid Claims Additive Factor</t>
  </si>
  <si>
    <t>Cumulative Paid ALAE Development Factors</t>
  </si>
  <si>
    <t>Ultimate Claims for Accident year 2017:</t>
  </si>
  <si>
    <t>Selected Severity:</t>
  </si>
  <si>
    <t>Trended Developed Severity</t>
  </si>
  <si>
    <t xml:space="preserve">Trend to 2017 </t>
  </si>
  <si>
    <t>Ultimate Severity</t>
  </si>
  <si>
    <t>Assuming no development past 48 months</t>
  </si>
  <si>
    <t>Average since fairly consistent</t>
  </si>
  <si>
    <t>Age-to-age</t>
  </si>
  <si>
    <t>Cumulative Reported Claims ($000s) as of (months)</t>
  </si>
  <si>
    <t>Divide by reported claims counts….usually done by paid claim counts but I will use reported because that is what is given</t>
  </si>
  <si>
    <t>First adjust the reported by the Tort Reform</t>
  </si>
  <si>
    <t>Severity:</t>
  </si>
  <si>
    <t>Accident Year Ultimate Claims:</t>
  </si>
  <si>
    <t>Age-to Age</t>
  </si>
  <si>
    <t>Frequecy:</t>
  </si>
  <si>
    <t>Develop frequency and severity separately.</t>
  </si>
  <si>
    <t>Estimate ultimate claims for accident year 2017 using a frequency-severity technique.</t>
  </si>
  <si>
    <t>•    There is no claim development after 48 months.</t>
  </si>
  <si>
    <t>•    The tort reform has no effect on claim reporting.</t>
  </si>
  <si>
    <t>Claim severity reduction due to tort reform on claims occuring on or after January 1, 2017</t>
  </si>
  <si>
    <t>Claim severity trend</t>
  </si>
  <si>
    <t>Reported Claim Count Age-to-Age Factors</t>
  </si>
  <si>
    <t>Reported Claims Age-to-Age Factors</t>
  </si>
  <si>
    <t>Not Provided</t>
  </si>
  <si>
    <t>Given the following data as of December 31, 2017:</t>
  </si>
  <si>
    <t>age to ult</t>
  </si>
  <si>
    <t>2017 Ultimate</t>
  </si>
  <si>
    <t>age to age</t>
  </si>
  <si>
    <t>after tort reform</t>
  </si>
  <si>
    <t>Reported Severity Development</t>
  </si>
  <si>
    <t xml:space="preserve">Severity appears to be decreasing, I will select the average of the most recent two years </t>
  </si>
  <si>
    <t>Develpoment</t>
  </si>
  <si>
    <t>Cumulative Reported Severity as of (months)</t>
  </si>
  <si>
    <t>Severity</t>
  </si>
  <si>
    <t>Ultimate Freq</t>
  </si>
  <si>
    <t>actual claims reported</t>
  </si>
  <si>
    <t>expected claims reported</t>
  </si>
  <si>
    <t>diff (actual - expected)</t>
  </si>
  <si>
    <t>case reserve adaquacy is higher than expected thus lower than expected development when near mature and vice versa</t>
  </si>
  <si>
    <t>unindentified negative loss trend e.g. improved underwriting practice and risk selection</t>
  </si>
  <si>
    <t>case reserve adaquacy is higher than expected larger reported growth at ealier development and vice versa</t>
  </si>
  <si>
    <t>unindentified possitive loss trend e.g. inflation</t>
  </si>
  <si>
    <t>Paid to</t>
  </si>
  <si>
    <t>paid</t>
  </si>
  <si>
    <t>Selected ULAE Factor</t>
  </si>
  <si>
    <t>Explanation:</t>
  </si>
  <si>
    <t>I select last 3 because the 2014 one is highly leverage and may not be representative of expected future costs</t>
  </si>
  <si>
    <t>Unpaid ULAE estimate=</t>
  </si>
  <si>
    <t xml:space="preserve">Average of </t>
  </si>
  <si>
    <t>Paid; Incurred</t>
  </si>
  <si>
    <t>Ratio is much more stable; I select avg of all years</t>
  </si>
  <si>
    <t>Selected factor</t>
  </si>
  <si>
    <t>Unpaid ULAE Estimate =</t>
  </si>
  <si>
    <t>In the scenario of long tail lines of business where claims are reported fast but payments occur later, that might distort the classical technique because the claim department IS working on those claims when they are opened, but Classical technique does not consider that. On the other hand, with kittel, such claims would be considered in the ratio</t>
  </si>
  <si>
    <t>To ULT</t>
  </si>
  <si>
    <t>Reported%</t>
  </si>
  <si>
    <t>June 17 to Dec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</si>
</sst>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44" formatCode="_(&quot;$&quot;* #,##0.00_);_(&quot;$&quot;* \(#,##0.00\);_(&quot;$&quot;* &quot;-&quot;??_);_(@_)"/>
    <numFmt numFmtId="43" formatCode="_(* #,##0.00_);_(* \(#,##0.00\);_(* &quot;-&quot;??_);_(@_)"/>
    <numFmt numFmtId="164" formatCode="0.0%"/>
    <numFmt numFmtId="165" formatCode="#,##0.0000_);\(#,##0.0000\)"/>
    <numFmt numFmtId="166" formatCode="0.000"/>
    <numFmt numFmtId="167" formatCode="_(* #,##0_);_(* \(#,##0\);_(* &quot;-&quot;??_);_(@_)"/>
    <numFmt numFmtId="168" formatCode="0.000000"/>
    <numFmt numFmtId="169" formatCode="0.0"/>
    <numFmt numFmtId="170" formatCode="&quot;$&quot;#,##0.00"/>
    <numFmt numFmtId="171" formatCode="\+0%"/>
    <numFmt numFmtId="172" formatCode="#,##0.000"/>
    <numFmt numFmtId="173" formatCode="#,##0.0000"/>
    <numFmt numFmtId="174" formatCode="_(* #,##0.0_);_(* \(#,##0.0\);_(* &quot;-&quot;??_);_(@_)"/>
    <numFmt numFmtId="175" formatCode="0.0000"/>
    <numFmt numFmtId="176" formatCode="mmmm\ d&quot;, &quot;yyyy;@"/>
    <numFmt numFmtId="177" formatCode="_(&quot;$&quot;* #,##0_);_(&quot;$&quot;* \(#,##0\);_(&quot;$&quot;* &quot;-&quot;??_);_(@_)"/>
    <numFmt numFmtId="178" formatCode="\$#,##0"/>
    <numFmt numFmtId="179" formatCode="&quot;$&quot;#,##0"/>
    <numFmt numFmtId="180" formatCode="_(* #,##0.00_);_(* \(#,##0.00\);_(* \-??_);_(@_)"/>
    <numFmt numFmtId="181" formatCode="_(* #,##0_);_(* \(#,##0\);_(* \-??_);_(@_)"/>
    <numFmt numFmtId="182" formatCode="_(* #,##0.000_);_(* \(#,##0.000\);_(* &quot;-&quot;??_);_(@_)"/>
    <numFmt numFmtId="183" formatCode="[$-409]mmmm\ d\,\ yyyy;@"/>
    <numFmt numFmtId="184" formatCode="_(* #,##0_);_(* \(#,##0\);_(* &quot;-&quot;?_);_(@_)"/>
    <numFmt numFmtId="185" formatCode="#,##0.00000"/>
    <numFmt numFmtId="186" formatCode="#,##0.0"/>
    <numFmt numFmtId="187" formatCode="&quot;$&quot;#,##0.0_);[Red]\(&quot;$&quot;#,##0.0\)"/>
    <numFmt numFmtId="188" formatCode="#,##0.000_);\(#,##0.000\)"/>
  </numFmts>
  <fonts count="41" x14ac:knownFonts="1">
    <font>
      <sz val="11"/>
      <color theme="1"/>
      <name val="Calibri"/>
      <family val="2"/>
      <scheme val="minor"/>
    </font>
    <font>
      <sz val="11"/>
      <color theme="1"/>
      <name val="Calibri"/>
      <family val="2"/>
      <scheme val="minor"/>
    </font>
    <font>
      <sz val="11"/>
      <color rgb="FF000000"/>
      <name val="Calibri"/>
      <family val="2"/>
      <charset val="1"/>
    </font>
    <font>
      <sz val="11"/>
      <color rgb="FF000000"/>
      <name val="Arial Rounded MT Bold"/>
      <family val="2"/>
    </font>
    <font>
      <b/>
      <sz val="11"/>
      <name val="Arial Rounded MT Bold"/>
      <family val="2"/>
    </font>
    <font>
      <sz val="10"/>
      <name val="Arial"/>
      <family val="2"/>
      <charset val="1"/>
    </font>
    <font>
      <b/>
      <u/>
      <sz val="11"/>
      <color rgb="FFFF0000"/>
      <name val="Arial Rounded MT Bold"/>
      <family val="2"/>
    </font>
    <font>
      <sz val="11"/>
      <color rgb="FFFF0000"/>
      <name val="Arial Rounded MT Bold"/>
      <family val="2"/>
    </font>
    <font>
      <sz val="11"/>
      <color theme="1"/>
      <name val="Arial Rounded MT Bold"/>
      <family val="2"/>
    </font>
    <font>
      <i/>
      <sz val="11"/>
      <color rgb="FF000000"/>
      <name val="Arial Rounded MT Bold"/>
      <family val="2"/>
    </font>
    <font>
      <sz val="11"/>
      <name val="Arial Rounded MT Bold"/>
      <family val="2"/>
    </font>
    <font>
      <sz val="11"/>
      <color rgb="FF7030A0"/>
      <name val="Arial Rounded MT Bold"/>
      <family val="2"/>
    </font>
    <font>
      <sz val="10"/>
      <color theme="1"/>
      <name val="Arial"/>
      <family val="2"/>
    </font>
    <font>
      <sz val="12"/>
      <color theme="1"/>
      <name val="Calibri"/>
      <family val="2"/>
      <scheme val="minor"/>
    </font>
    <font>
      <b/>
      <sz val="11"/>
      <color theme="1"/>
      <name val="Arial Rounded MT Bold"/>
      <family val="2"/>
    </font>
    <font>
      <b/>
      <u/>
      <sz val="11"/>
      <color theme="1"/>
      <name val="Arial Rounded MT Bold"/>
      <family val="2"/>
    </font>
    <font>
      <i/>
      <sz val="11"/>
      <color rgb="FF7F7F7F"/>
      <name val="Calibri"/>
      <family val="2"/>
      <scheme val="minor"/>
    </font>
    <font>
      <b/>
      <u/>
      <sz val="11.5"/>
      <color theme="1"/>
      <name val="Calibri"/>
      <family val="2"/>
      <scheme val="minor"/>
    </font>
    <font>
      <sz val="11.5"/>
      <color theme="1"/>
      <name val="Calibri"/>
      <family val="2"/>
      <scheme val="minor"/>
    </font>
    <font>
      <b/>
      <sz val="11.5"/>
      <color theme="1"/>
      <name val="Calibri"/>
      <family val="2"/>
      <scheme val="minor"/>
    </font>
    <font>
      <vertAlign val="superscript"/>
      <sz val="11.5"/>
      <color theme="1"/>
      <name val="Calibri"/>
      <family val="2"/>
      <scheme val="minor"/>
    </font>
    <font>
      <sz val="10"/>
      <name val="Arial"/>
      <family val="2"/>
    </font>
    <font>
      <sz val="11.5"/>
      <name val="Calibri"/>
      <family val="2"/>
      <scheme val="minor"/>
    </font>
    <font>
      <b/>
      <sz val="11.5"/>
      <name val="Calibri"/>
      <family val="2"/>
      <scheme val="minor"/>
    </font>
    <font>
      <i/>
      <u/>
      <sz val="11"/>
      <color rgb="FF000000"/>
      <name val="Arial Rounded MT Bold"/>
      <family val="2"/>
    </font>
    <font>
      <b/>
      <sz val="11"/>
      <color rgb="FF000000"/>
      <name val="Arial Rounded MT Bold"/>
      <family val="2"/>
    </font>
    <font>
      <sz val="11"/>
      <color theme="1"/>
      <name val="Arial"/>
      <family val="2"/>
    </font>
    <font>
      <u/>
      <sz val="11"/>
      <color rgb="FF000000"/>
      <name val="Arial Rounded MT Bold"/>
      <family val="2"/>
    </font>
    <font>
      <sz val="11"/>
      <color rgb="FF000000"/>
      <name val="Calibri"/>
      <family val="2"/>
      <scheme val="minor"/>
    </font>
    <font>
      <b/>
      <sz val="11"/>
      <name val="Calibri"/>
      <family val="2"/>
      <scheme val="minor"/>
    </font>
    <font>
      <i/>
      <sz val="11"/>
      <color rgb="FF000000"/>
      <name val="Calibri"/>
      <family val="2"/>
      <scheme val="minor"/>
    </font>
    <font>
      <b/>
      <u/>
      <sz val="11"/>
      <color rgb="FFFF0000"/>
      <name val="Calibri"/>
      <family val="2"/>
      <scheme val="minor"/>
    </font>
    <font>
      <sz val="11"/>
      <color rgb="FFFF0000"/>
      <name val="Calibri"/>
      <family val="2"/>
      <scheme val="minor"/>
    </font>
    <font>
      <sz val="11"/>
      <color rgb="FF0000FF"/>
      <name val="Arial Rounded MT Bold"/>
      <family val="2"/>
    </font>
    <font>
      <i/>
      <sz val="11"/>
      <color theme="1"/>
      <name val="Arial Rounded MT Bold"/>
      <family val="2"/>
    </font>
    <font>
      <u/>
      <sz val="11"/>
      <name val="Arial Rounded MT Bold"/>
      <family val="2"/>
    </font>
    <font>
      <u/>
      <sz val="11"/>
      <color theme="1"/>
      <name val="Arial Rounded MT Bold"/>
      <family val="2"/>
    </font>
    <font>
      <i/>
      <sz val="11"/>
      <color rgb="FFFF0000"/>
      <name val="Arial Rounded MT Bold"/>
      <family val="2"/>
    </font>
    <font>
      <sz val="10"/>
      <color theme="1"/>
      <name val="Arial Rounded MT Bold"/>
      <family val="2"/>
    </font>
    <font>
      <b/>
      <sz val="10"/>
      <color theme="1"/>
      <name val="Arial Rounded MT Bold"/>
      <family val="2"/>
    </font>
    <font>
      <sz val="10"/>
      <color indexed="8"/>
      <name val="Helvetica"/>
    </font>
  </fonts>
  <fills count="12">
    <fill>
      <patternFill patternType="none"/>
    </fill>
    <fill>
      <patternFill patternType="gray125"/>
    </fill>
    <fill>
      <patternFill patternType="solid">
        <fgColor theme="0" tint="-4.9989318521683403E-2"/>
        <bgColor indexed="64"/>
      </patternFill>
    </fill>
    <fill>
      <patternFill patternType="solid">
        <fgColor rgb="FFF2F2F2"/>
        <b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4.9989318521683403E-2"/>
        <bgColor rgb="FFFFFFCC"/>
      </patternFill>
    </fill>
    <fill>
      <patternFill patternType="solid">
        <fgColor rgb="FFF2F2F2"/>
        <bgColor indexed="64"/>
      </patternFill>
    </fill>
    <fill>
      <patternFill patternType="solid">
        <fgColor theme="5" tint="0.39997558519241921"/>
        <bgColor indexed="64"/>
      </patternFill>
    </fill>
    <fill>
      <patternFill patternType="solid">
        <fgColor rgb="FF92D050"/>
        <bgColor indexed="64"/>
      </patternFill>
    </fill>
  </fills>
  <borders count="18">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style="medium">
        <color auto="1"/>
      </bottom>
      <diagonal/>
    </border>
    <border>
      <left style="medium">
        <color indexed="64"/>
      </left>
      <right style="medium">
        <color indexed="64"/>
      </right>
      <top style="medium">
        <color indexed="64"/>
      </top>
      <bottom style="thin">
        <color auto="1"/>
      </bottom>
      <diagonal/>
    </border>
    <border>
      <left/>
      <right/>
      <top/>
      <bottom style="thin">
        <color auto="1"/>
      </bottom>
      <diagonal/>
    </border>
  </borders>
  <cellStyleXfs count="27">
    <xf numFmtId="0" fontId="0" fillId="0" borderId="0"/>
    <xf numFmtId="0" fontId="2" fillId="0"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9" fontId="1" fillId="0" borderId="0" applyNumberFormat="0" applyFont="0" applyFill="0" applyBorder="0" applyAlignment="0" applyProtection="0"/>
    <xf numFmtId="43" fontId="1" fillId="0" borderId="0" applyNumberFormat="0" applyFont="0" applyFill="0" applyBorder="0" applyAlignment="0" applyProtection="0"/>
    <xf numFmtId="0" fontId="13"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5" fillId="0" borderId="0"/>
    <xf numFmtId="0" fontId="16" fillId="0" borderId="0" applyNumberFormat="0" applyFill="0" applyBorder="0" applyAlignment="0" applyProtection="0"/>
    <xf numFmtId="0" fontId="1" fillId="0" borderId="0"/>
    <xf numFmtId="0" fontId="13" fillId="0" borderId="0"/>
    <xf numFmtId="0" fontId="21" fillId="0" borderId="0" applyNumberFormat="0" applyFont="0" applyFill="0" applyBorder="0" applyAlignment="0" applyProtection="0"/>
    <xf numFmtId="9" fontId="2" fillId="0" borderId="0" applyNumberFormat="0" applyFont="0" applyFill="0" applyBorder="0" applyAlignment="0" applyProtection="0"/>
    <xf numFmtId="9" fontId="26" fillId="0" borderId="0" applyNumberFormat="0" applyFont="0" applyFill="0" applyBorder="0" applyAlignment="0" applyProtection="0"/>
    <xf numFmtId="43" fontId="1" fillId="0" borderId="0" applyNumberFormat="0" applyFont="0" applyFill="0" applyBorder="0" applyAlignment="0" applyProtection="0"/>
    <xf numFmtId="44" fontId="1" fillId="0" borderId="0" applyNumberFormat="0" applyFont="0" applyFill="0" applyBorder="0" applyAlignment="0" applyProtection="0"/>
    <xf numFmtId="180" fontId="2" fillId="0" borderId="0" applyNumberFormat="0" applyFont="0" applyFill="0" applyBorder="0" applyAlignment="0" applyProtection="0"/>
    <xf numFmtId="180" fontId="2" fillId="0" borderId="0" applyNumberFormat="0" applyFont="0" applyFill="0" applyBorder="0" applyAlignment="0" applyProtection="0"/>
    <xf numFmtId="180" fontId="2" fillId="0" borderId="0" applyNumberFormat="0" applyFont="0" applyFill="0" applyBorder="0" applyAlignment="0" applyProtection="0"/>
    <xf numFmtId="0" fontId="2"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40" fillId="0" borderId="0" applyNumberFormat="0" applyFont="0" applyFill="0" applyBorder="0" applyAlignment="0" applyProtection="0">
      <alignment vertical="top" wrapText="1"/>
    </xf>
  </cellStyleXfs>
  <cellXfs count="1094">
    <xf numFmtId="0" fontId="0" fillId="0" borderId="0" xfId="0"/>
    <xf numFmtId="0" fontId="3" fillId="0" borderId="0" xfId="1" applyFont="1" applyProtection="1">
      <protection locked="0"/>
    </xf>
    <xf numFmtId="0" fontId="3" fillId="0" borderId="0" xfId="1" applyFont="1" applyFill="1" applyProtection="1">
      <protection locked="0"/>
    </xf>
    <xf numFmtId="0" fontId="4" fillId="0" borderId="1" xfId="2" applyFont="1" applyBorder="1" applyAlignment="1" applyProtection="1">
      <alignment horizontal="center"/>
    </xf>
    <xf numFmtId="0" fontId="4" fillId="0" borderId="1" xfId="3" applyFont="1" applyBorder="1" applyAlignment="1" applyProtection="1">
      <alignment horizontal="center"/>
    </xf>
    <xf numFmtId="0" fontId="3" fillId="2" borderId="2" xfId="1" applyFont="1" applyFill="1" applyBorder="1" applyProtection="1"/>
    <xf numFmtId="0" fontId="3" fillId="2" borderId="3" xfId="1" applyFont="1" applyFill="1" applyBorder="1" applyProtection="1"/>
    <xf numFmtId="0" fontId="3" fillId="0" borderId="0" xfId="1" applyFont="1" applyProtection="1"/>
    <xf numFmtId="0" fontId="6" fillId="3" borderId="4" xfId="1" applyFont="1" applyFill="1" applyBorder="1" applyAlignment="1" applyProtection="1">
      <alignment horizontal="center"/>
    </xf>
    <xf numFmtId="0" fontId="3" fillId="3" borderId="0" xfId="1" applyFont="1" applyFill="1" applyBorder="1" applyProtection="1"/>
    <xf numFmtId="0" fontId="3" fillId="3" borderId="5" xfId="1" applyFont="1" applyFill="1" applyBorder="1" applyProtection="1"/>
    <xf numFmtId="2" fontId="7" fillId="3" borderId="4" xfId="1" applyNumberFormat="1" applyFont="1" applyFill="1" applyBorder="1" applyAlignment="1" applyProtection="1">
      <alignment horizontal="center"/>
    </xf>
    <xf numFmtId="0" fontId="8" fillId="2" borderId="0" xfId="4" applyFont="1" applyFill="1" applyBorder="1" applyProtection="1"/>
    <xf numFmtId="0" fontId="9" fillId="3" borderId="0" xfId="1" applyFont="1" applyFill="1" applyBorder="1" applyProtection="1"/>
    <xf numFmtId="0" fontId="9" fillId="3" borderId="5" xfId="1" applyFont="1" applyFill="1" applyBorder="1" applyProtection="1"/>
    <xf numFmtId="0" fontId="3" fillId="3" borderId="0" xfId="1" applyFont="1" applyFill="1" applyBorder="1" applyAlignment="1" applyProtection="1">
      <alignment horizontal="left"/>
    </xf>
    <xf numFmtId="2" fontId="7" fillId="4" borderId="0" xfId="1" applyNumberFormat="1" applyFont="1" applyFill="1" applyProtection="1"/>
    <xf numFmtId="0" fontId="3" fillId="0" borderId="0" xfId="1" applyFont="1" applyAlignment="1" applyProtection="1"/>
    <xf numFmtId="0" fontId="3" fillId="0" borderId="0" xfId="1" applyFont="1" applyAlignment="1" applyProtection="1">
      <protection locked="0"/>
    </xf>
    <xf numFmtId="0" fontId="3" fillId="3" borderId="0" xfId="1" applyFont="1" applyFill="1" applyBorder="1" applyAlignment="1" applyProtection="1">
      <alignment vertical="center"/>
    </xf>
    <xf numFmtId="0" fontId="10" fillId="0" borderId="0" xfId="1" applyFont="1" applyProtection="1"/>
    <xf numFmtId="0" fontId="10" fillId="0" borderId="0" xfId="1" applyFont="1" applyProtection="1">
      <protection locked="0"/>
    </xf>
    <xf numFmtId="3" fontId="11" fillId="3" borderId="0" xfId="1" applyNumberFormat="1" applyFont="1" applyFill="1" applyBorder="1" applyAlignment="1" applyProtection="1">
      <alignment horizontal="right" vertical="center" wrapText="1"/>
    </xf>
    <xf numFmtId="0" fontId="11" fillId="3" borderId="0" xfId="1" applyFont="1" applyFill="1" applyBorder="1" applyAlignment="1" applyProtection="1">
      <alignment horizontal="right" vertical="center" wrapText="1"/>
    </xf>
    <xf numFmtId="0" fontId="11" fillId="3" borderId="0" xfId="1" applyFont="1" applyFill="1" applyBorder="1" applyProtection="1"/>
    <xf numFmtId="0" fontId="3" fillId="3" borderId="0" xfId="1" applyFont="1" applyFill="1" applyBorder="1" applyAlignment="1" applyProtection="1"/>
    <xf numFmtId="0" fontId="3" fillId="3" borderId="5" xfId="1" applyFont="1" applyFill="1" applyBorder="1" applyAlignment="1" applyProtection="1"/>
    <xf numFmtId="0" fontId="10" fillId="0" borderId="0" xfId="1" applyFont="1" applyFill="1" applyProtection="1">
      <protection locked="0"/>
    </xf>
    <xf numFmtId="2" fontId="7" fillId="3" borderId="6" xfId="1" applyNumberFormat="1" applyFont="1" applyFill="1" applyBorder="1" applyAlignment="1" applyProtection="1">
      <alignment horizontal="center"/>
    </xf>
    <xf numFmtId="0" fontId="3" fillId="3" borderId="7" xfId="1" applyFont="1" applyFill="1" applyBorder="1" applyAlignment="1" applyProtection="1">
      <alignment vertical="center"/>
    </xf>
    <xf numFmtId="0" fontId="3" fillId="3" borderId="7" xfId="1" applyFont="1" applyFill="1" applyBorder="1" applyProtection="1"/>
    <xf numFmtId="0" fontId="3" fillId="3" borderId="7" xfId="1" applyFont="1" applyFill="1" applyBorder="1" applyAlignment="1" applyProtection="1"/>
    <xf numFmtId="0" fontId="3" fillId="3" borderId="8" xfId="1" applyFont="1" applyFill="1" applyBorder="1" applyAlignment="1" applyProtection="1"/>
    <xf numFmtId="0" fontId="3" fillId="0" borderId="0" xfId="1" applyFont="1" applyAlignment="1" applyProtection="1">
      <alignment horizontal="center"/>
    </xf>
    <xf numFmtId="0" fontId="3" fillId="0" borderId="0" xfId="1" applyFont="1" applyAlignment="1" applyProtection="1">
      <alignment horizontal="right"/>
    </xf>
    <xf numFmtId="0" fontId="3" fillId="0" borderId="1" xfId="1" applyFont="1" applyBorder="1" applyProtection="1"/>
    <xf numFmtId="0" fontId="10" fillId="3" borderId="9" xfId="1" applyFont="1" applyFill="1" applyBorder="1" applyAlignment="1" applyProtection="1">
      <alignment horizontal="center" vertical="center" wrapText="1"/>
    </xf>
    <xf numFmtId="0" fontId="10" fillId="3" borderId="9" xfId="1" applyFont="1" applyFill="1" applyBorder="1" applyAlignment="1" applyProtection="1">
      <alignment horizontal="right" vertical="center" wrapText="1"/>
    </xf>
    <xf numFmtId="0" fontId="10" fillId="3" borderId="10" xfId="1" applyFont="1" applyFill="1" applyBorder="1" applyAlignment="1" applyProtection="1">
      <alignment horizontal="center" vertical="center" wrapText="1"/>
    </xf>
    <xf numFmtId="6" fontId="10" fillId="3" borderId="10" xfId="1" applyNumberFormat="1" applyFont="1" applyFill="1" applyBorder="1" applyAlignment="1" applyProtection="1">
      <alignment horizontal="right" vertical="center" wrapText="1"/>
    </xf>
    <xf numFmtId="0" fontId="10" fillId="3" borderId="10" xfId="1" applyFont="1" applyFill="1" applyBorder="1" applyAlignment="1" applyProtection="1">
      <alignment horizontal="right" vertical="center" wrapText="1"/>
    </xf>
    <xf numFmtId="9" fontId="10" fillId="3" borderId="10" xfId="1" applyNumberFormat="1" applyFont="1" applyFill="1" applyBorder="1" applyAlignment="1" applyProtection="1">
      <alignment horizontal="right" vertical="center" wrapText="1"/>
    </xf>
    <xf numFmtId="0" fontId="10" fillId="3" borderId="10" xfId="1" quotePrefix="1" applyFont="1" applyFill="1" applyBorder="1" applyAlignment="1" applyProtection="1">
      <alignment horizontal="right" vertical="center" wrapText="1"/>
    </xf>
    <xf numFmtId="0" fontId="10" fillId="3" borderId="11" xfId="1" applyFont="1" applyFill="1" applyBorder="1" applyAlignment="1" applyProtection="1">
      <alignment horizontal="center" vertical="center" wrapText="1"/>
    </xf>
    <xf numFmtId="6" fontId="10" fillId="3" borderId="11" xfId="1" applyNumberFormat="1" applyFont="1" applyFill="1" applyBorder="1" applyAlignment="1" applyProtection="1">
      <alignment horizontal="right" vertical="center" wrapText="1"/>
    </xf>
    <xf numFmtId="11" fontId="10" fillId="3" borderId="9" xfId="1" applyNumberFormat="1" applyFont="1" applyFill="1" applyBorder="1" applyAlignment="1" applyProtection="1">
      <alignment horizontal="center" vertical="center" wrapText="1"/>
    </xf>
    <xf numFmtId="9" fontId="10" fillId="3" borderId="9" xfId="1" applyNumberFormat="1" applyFont="1" applyFill="1" applyBorder="1" applyAlignment="1" applyProtection="1">
      <alignment horizontal="right" vertical="center" wrapText="1"/>
    </xf>
    <xf numFmtId="11" fontId="10" fillId="3" borderId="10" xfId="1" applyNumberFormat="1" applyFont="1" applyFill="1" applyBorder="1" applyAlignment="1" applyProtection="1">
      <alignment horizontal="center" vertical="center" wrapText="1"/>
    </xf>
    <xf numFmtId="11" fontId="10" fillId="3" borderId="11" xfId="1" applyNumberFormat="1" applyFont="1" applyFill="1" applyBorder="1" applyAlignment="1" applyProtection="1">
      <alignment horizontal="center" vertical="center" wrapText="1"/>
    </xf>
    <xf numFmtId="0" fontId="10" fillId="3" borderId="11" xfId="1" quotePrefix="1" applyFont="1" applyFill="1" applyBorder="1" applyAlignment="1" applyProtection="1">
      <alignment horizontal="right" vertical="center" wrapText="1"/>
    </xf>
    <xf numFmtId="0" fontId="3" fillId="3" borderId="8" xfId="1" applyFont="1" applyFill="1" applyBorder="1" applyProtection="1"/>
    <xf numFmtId="10" fontId="3" fillId="0" borderId="0" xfId="6" applyNumberFormat="1" applyFont="1" applyProtection="1"/>
    <xf numFmtId="43" fontId="3" fillId="4" borderId="0" xfId="7" applyFont="1" applyFill="1" applyProtection="1"/>
    <xf numFmtId="0" fontId="8" fillId="2" borderId="5" xfId="4" applyFont="1" applyFill="1" applyBorder="1" applyProtection="1"/>
    <xf numFmtId="3" fontId="8" fillId="2" borderId="0" xfId="4" applyNumberFormat="1" applyFont="1" applyFill="1" applyBorder="1" applyProtection="1"/>
    <xf numFmtId="164" fontId="8" fillId="2" borderId="0" xfId="4" applyNumberFormat="1" applyFont="1" applyFill="1" applyBorder="1" applyAlignment="1" applyProtection="1">
      <alignment horizontal="center"/>
    </xf>
    <xf numFmtId="164" fontId="8" fillId="2" borderId="0" xfId="4" applyNumberFormat="1" applyFont="1" applyFill="1" applyBorder="1" applyProtection="1"/>
    <xf numFmtId="0" fontId="8" fillId="2" borderId="0" xfId="8" applyFont="1" applyFill="1" applyBorder="1" applyProtection="1"/>
    <xf numFmtId="3" fontId="8" fillId="2" borderId="12" xfId="8" applyNumberFormat="1" applyFont="1" applyFill="1" applyBorder="1" applyAlignment="1" applyProtection="1">
      <alignment horizontal="center"/>
    </xf>
    <xf numFmtId="164" fontId="8" fillId="2" borderId="13" xfId="8" applyNumberFormat="1" applyFont="1" applyFill="1" applyBorder="1" applyAlignment="1" applyProtection="1">
      <alignment horizontal="right"/>
    </xf>
    <xf numFmtId="3" fontId="8" fillId="2" borderId="4" xfId="8" applyNumberFormat="1" applyFont="1" applyFill="1" applyBorder="1" applyAlignment="1" applyProtection="1">
      <alignment horizontal="right"/>
    </xf>
    <xf numFmtId="3" fontId="8" fillId="2" borderId="5" xfId="8" applyNumberFormat="1" applyFont="1" applyFill="1" applyBorder="1" applyAlignment="1" applyProtection="1">
      <alignment horizontal="right"/>
    </xf>
    <xf numFmtId="164" fontId="8" fillId="2" borderId="4" xfId="8" applyNumberFormat="1" applyFont="1" applyFill="1" applyBorder="1" applyAlignment="1" applyProtection="1">
      <alignment horizontal="right"/>
    </xf>
    <xf numFmtId="0" fontId="8" fillId="2" borderId="5" xfId="8" applyFont="1" applyFill="1" applyBorder="1" applyAlignment="1" applyProtection="1">
      <alignment horizontal="right"/>
    </xf>
    <xf numFmtId="3" fontId="8" fillId="2" borderId="6" xfId="8" applyNumberFormat="1" applyFont="1" applyFill="1" applyBorder="1" applyAlignment="1" applyProtection="1">
      <alignment horizontal="right"/>
    </xf>
    <xf numFmtId="3" fontId="8" fillId="2" borderId="8" xfId="8" applyNumberFormat="1" applyFont="1" applyFill="1" applyBorder="1" applyAlignment="1" applyProtection="1">
      <alignment horizontal="right"/>
    </xf>
    <xf numFmtId="164" fontId="8" fillId="2" borderId="6" xfId="8" applyNumberFormat="1" applyFont="1" applyFill="1" applyBorder="1" applyAlignment="1" applyProtection="1">
      <alignment horizontal="right"/>
    </xf>
    <xf numFmtId="0" fontId="8" fillId="2" borderId="8" xfId="8" applyFont="1" applyFill="1" applyBorder="1" applyAlignment="1" applyProtection="1">
      <alignment horizontal="right"/>
    </xf>
    <xf numFmtId="0" fontId="8" fillId="2" borderId="6" xfId="8" applyFont="1" applyFill="1" applyBorder="1" applyAlignment="1" applyProtection="1">
      <alignment horizontal="right"/>
    </xf>
    <xf numFmtId="3" fontId="8" fillId="2" borderId="0" xfId="8" applyNumberFormat="1" applyFont="1" applyFill="1" applyBorder="1" applyProtection="1"/>
    <xf numFmtId="164" fontId="8" fillId="2" borderId="0" xfId="8" applyNumberFormat="1" applyFont="1" applyFill="1" applyBorder="1" applyProtection="1"/>
    <xf numFmtId="0" fontId="8" fillId="2" borderId="15" xfId="4" applyFont="1" applyFill="1" applyBorder="1" applyProtection="1"/>
    <xf numFmtId="0" fontId="8" fillId="2" borderId="13" xfId="4" applyFont="1" applyFill="1" applyBorder="1" applyProtection="1"/>
    <xf numFmtId="0" fontId="8" fillId="2" borderId="0" xfId="4" applyFont="1" applyFill="1" applyBorder="1" applyAlignment="1" applyProtection="1"/>
    <xf numFmtId="164" fontId="8" fillId="2" borderId="7" xfId="4" applyNumberFormat="1" applyFont="1" applyFill="1" applyBorder="1" applyAlignment="1" applyProtection="1">
      <alignment horizontal="center"/>
    </xf>
    <xf numFmtId="164" fontId="8" fillId="2" borderId="7" xfId="4" applyNumberFormat="1" applyFont="1" applyFill="1" applyBorder="1" applyProtection="1"/>
    <xf numFmtId="0" fontId="8" fillId="2" borderId="7" xfId="4" applyFont="1" applyFill="1" applyBorder="1" applyProtection="1"/>
    <xf numFmtId="0" fontId="8" fillId="2" borderId="8" xfId="4" applyFont="1" applyFill="1" applyBorder="1" applyProtection="1"/>
    <xf numFmtId="0" fontId="8" fillId="0" borderId="0" xfId="9" applyFont="1" applyProtection="1"/>
    <xf numFmtId="0" fontId="8" fillId="0" borderId="2" xfId="9" applyFont="1" applyBorder="1" applyProtection="1"/>
    <xf numFmtId="0" fontId="8" fillId="0" borderId="3" xfId="9" applyFont="1" applyBorder="1" applyProtection="1"/>
    <xf numFmtId="0" fontId="8" fillId="0" borderId="0" xfId="9" applyFont="1" applyBorder="1" applyProtection="1"/>
    <xf numFmtId="0" fontId="8" fillId="0" borderId="5" xfId="9" applyFont="1" applyBorder="1" applyProtection="1"/>
    <xf numFmtId="0" fontId="8" fillId="0" borderId="0" xfId="9" applyFont="1" applyBorder="1" applyAlignment="1" applyProtection="1">
      <alignment horizontal="center"/>
    </xf>
    <xf numFmtId="5" fontId="8" fillId="0" borderId="0" xfId="9" applyNumberFormat="1" applyFont="1" applyBorder="1" applyProtection="1"/>
    <xf numFmtId="0" fontId="14" fillId="0" borderId="0" xfId="9" applyFont="1" applyBorder="1" applyAlignment="1" applyProtection="1">
      <alignment horizontal="right"/>
    </xf>
    <xf numFmtId="165" fontId="14" fillId="0" borderId="0" xfId="9" applyNumberFormat="1" applyFont="1" applyBorder="1" applyProtection="1"/>
    <xf numFmtId="0" fontId="8" fillId="0" borderId="7" xfId="9" applyFont="1" applyBorder="1" applyProtection="1"/>
    <xf numFmtId="0" fontId="8" fillId="0" borderId="8" xfId="9" applyFont="1" applyBorder="1" applyProtection="1"/>
    <xf numFmtId="43" fontId="0" fillId="0" borderId="0" xfId="5" applyFont="1"/>
    <xf numFmtId="3" fontId="8" fillId="2" borderId="12" xfId="8" applyNumberFormat="1" applyFont="1" applyFill="1" applyBorder="1" applyAlignment="1" applyProtection="1">
      <alignment horizontal="center" wrapText="1"/>
    </xf>
    <xf numFmtId="164" fontId="8" fillId="2" borderId="13" xfId="8" applyNumberFormat="1" applyFont="1" applyFill="1" applyBorder="1" applyAlignment="1" applyProtection="1">
      <alignment horizontal="right" wrapText="1"/>
    </xf>
    <xf numFmtId="0" fontId="8" fillId="2" borderId="5" xfId="4" applyFont="1" applyFill="1" applyBorder="1" applyAlignment="1" applyProtection="1">
      <alignment wrapText="1"/>
    </xf>
    <xf numFmtId="0" fontId="0" fillId="0" borderId="0" xfId="0" applyAlignment="1">
      <alignment wrapText="1"/>
    </xf>
    <xf numFmtId="3" fontId="8" fillId="0" borderId="0" xfId="9" applyNumberFormat="1" applyFont="1" applyProtection="1"/>
    <xf numFmtId="43" fontId="8" fillId="0" borderId="0" xfId="9" applyNumberFormat="1" applyFont="1" applyProtection="1"/>
    <xf numFmtId="167" fontId="8" fillId="0" borderId="0" xfId="7" applyNumberFormat="1" applyFont="1" applyProtection="1"/>
    <xf numFmtId="3" fontId="8" fillId="4" borderId="5" xfId="8" applyNumberFormat="1" applyFont="1" applyFill="1" applyBorder="1" applyAlignment="1" applyProtection="1">
      <alignment horizontal="right"/>
    </xf>
    <xf numFmtId="3" fontId="8" fillId="4" borderId="8" xfId="8" applyNumberFormat="1" applyFont="1" applyFill="1" applyBorder="1" applyAlignment="1" applyProtection="1">
      <alignment horizontal="right"/>
    </xf>
    <xf numFmtId="43" fontId="8" fillId="0" borderId="0" xfId="7" applyFont="1" applyProtection="1"/>
    <xf numFmtId="0" fontId="15" fillId="0" borderId="0" xfId="9" applyFont="1" applyProtection="1"/>
    <xf numFmtId="43" fontId="15" fillId="0" borderId="0" xfId="9" applyNumberFormat="1" applyFont="1" applyProtection="1"/>
    <xf numFmtId="1" fontId="8" fillId="0" borderId="0" xfId="9" applyNumberFormat="1" applyFont="1" applyAlignment="1" applyProtection="1">
      <alignment horizontal="center"/>
    </xf>
    <xf numFmtId="168" fontId="8" fillId="0" borderId="0" xfId="9" applyNumberFormat="1" applyFont="1" applyAlignment="1" applyProtection="1">
      <alignment horizontal="center"/>
    </xf>
    <xf numFmtId="167" fontId="0" fillId="0" borderId="0" xfId="5" applyNumberFormat="1" applyFont="1"/>
    <xf numFmtId="0" fontId="4" fillId="0" borderId="1" xfId="10" applyFont="1" applyBorder="1" applyAlignment="1">
      <alignment horizontal="center"/>
    </xf>
    <xf numFmtId="0" fontId="4" fillId="2" borderId="2" xfId="12" applyFont="1" applyFill="1" applyBorder="1" applyAlignment="1" applyProtection="1">
      <alignment horizontal="center"/>
    </xf>
    <xf numFmtId="0" fontId="10" fillId="2" borderId="2" xfId="13" applyFont="1" applyFill="1" applyBorder="1" applyProtection="1"/>
    <xf numFmtId="0" fontId="10" fillId="2" borderId="3" xfId="13" applyFont="1" applyFill="1" applyBorder="1" applyProtection="1"/>
    <xf numFmtId="0" fontId="6" fillId="3" borderId="4" xfId="13" applyFont="1" applyFill="1" applyBorder="1" applyAlignment="1" applyProtection="1">
      <alignment horizontal="center"/>
    </xf>
    <xf numFmtId="0" fontId="10" fillId="3" borderId="0" xfId="13" applyFont="1" applyFill="1" applyBorder="1" applyProtection="1"/>
    <xf numFmtId="0" fontId="10" fillId="3" borderId="5" xfId="13" applyFont="1" applyFill="1" applyBorder="1" applyProtection="1"/>
    <xf numFmtId="2" fontId="7" fillId="3" borderId="4" xfId="13" applyNumberFormat="1" applyFont="1" applyFill="1" applyBorder="1" applyAlignment="1" applyProtection="1">
      <alignment horizontal="center"/>
    </xf>
    <xf numFmtId="0" fontId="3" fillId="3" borderId="0" xfId="13" applyFont="1" applyFill="1" applyBorder="1" applyProtection="1"/>
    <xf numFmtId="0" fontId="10" fillId="3" borderId="14" xfId="13" applyFont="1" applyFill="1" applyBorder="1" applyAlignment="1" applyProtection="1">
      <alignment horizontal="center"/>
    </xf>
    <xf numFmtId="0" fontId="10" fillId="3" borderId="6" xfId="13" applyFont="1" applyFill="1" applyBorder="1" applyAlignment="1" applyProtection="1">
      <alignment horizontal="center"/>
    </xf>
    <xf numFmtId="0" fontId="10" fillId="3" borderId="7" xfId="13" applyFont="1" applyFill="1" applyBorder="1" applyAlignment="1" applyProtection="1">
      <alignment horizontal="center"/>
    </xf>
    <xf numFmtId="0" fontId="10" fillId="3" borderId="8" xfId="13" applyFont="1" applyFill="1" applyBorder="1" applyAlignment="1" applyProtection="1">
      <alignment horizontal="center"/>
    </xf>
    <xf numFmtId="0" fontId="10" fillId="3" borderId="2" xfId="13" applyFont="1" applyFill="1" applyBorder="1" applyAlignment="1" applyProtection="1">
      <alignment horizontal="center" vertical="center"/>
    </xf>
    <xf numFmtId="0" fontId="10" fillId="3" borderId="3" xfId="13" applyFont="1" applyFill="1" applyBorder="1" applyAlignment="1" applyProtection="1">
      <alignment horizontal="center" vertical="center"/>
    </xf>
    <xf numFmtId="0" fontId="10" fillId="3" borderId="4" xfId="13" applyFont="1" applyFill="1" applyBorder="1" applyAlignment="1" applyProtection="1">
      <alignment horizontal="center"/>
    </xf>
    <xf numFmtId="0" fontId="10" fillId="3" borderId="0" xfId="13" applyFont="1" applyFill="1" applyBorder="1" applyAlignment="1" applyProtection="1">
      <alignment horizontal="center" vertical="center"/>
    </xf>
    <xf numFmtId="0" fontId="10" fillId="3" borderId="5" xfId="13" applyFont="1" applyFill="1" applyBorder="1" applyAlignment="1" applyProtection="1">
      <alignment horizontal="center" vertical="center"/>
    </xf>
    <xf numFmtId="0" fontId="10" fillId="3" borderId="7" xfId="13" applyFont="1" applyFill="1" applyBorder="1" applyAlignment="1" applyProtection="1">
      <alignment horizontal="center" vertical="center"/>
    </xf>
    <xf numFmtId="0" fontId="10" fillId="3" borderId="8" xfId="13" applyFont="1" applyFill="1" applyBorder="1" applyAlignment="1" applyProtection="1">
      <alignment horizontal="center" vertical="center"/>
    </xf>
    <xf numFmtId="0" fontId="10" fillId="3" borderId="0" xfId="13" applyFont="1" applyFill="1" applyBorder="1" applyAlignment="1" applyProtection="1">
      <alignment horizontal="center"/>
    </xf>
    <xf numFmtId="0" fontId="10" fillId="3" borderId="16" xfId="13" applyFont="1" applyFill="1" applyBorder="1" applyAlignment="1" applyProtection="1">
      <alignment horizontal="center"/>
    </xf>
    <xf numFmtId="0" fontId="8" fillId="2" borderId="0" xfId="13" applyFont="1" applyFill="1" applyBorder="1"/>
    <xf numFmtId="0" fontId="10" fillId="3" borderId="10" xfId="13" applyFont="1" applyFill="1" applyBorder="1" applyAlignment="1" applyProtection="1">
      <alignment horizontal="center"/>
    </xf>
    <xf numFmtId="9" fontId="10" fillId="3" borderId="10" xfId="13" applyNumberFormat="1" applyFont="1" applyFill="1" applyBorder="1" applyAlignment="1" applyProtection="1">
      <alignment horizontal="right"/>
    </xf>
    <xf numFmtId="0" fontId="8" fillId="2" borderId="0" xfId="13" applyFont="1" applyFill="1"/>
    <xf numFmtId="0" fontId="10" fillId="3" borderId="11" xfId="13" applyFont="1" applyFill="1" applyBorder="1" applyAlignment="1" applyProtection="1">
      <alignment horizontal="center"/>
    </xf>
    <xf numFmtId="9" fontId="10" fillId="3" borderId="11" xfId="13" applyNumberFormat="1" applyFont="1" applyFill="1" applyBorder="1" applyAlignment="1" applyProtection="1">
      <alignment horizontal="right"/>
    </xf>
    <xf numFmtId="0" fontId="10" fillId="3" borderId="0" xfId="14" applyFont="1" applyFill="1" applyAlignment="1">
      <alignment horizontal="center"/>
    </xf>
    <xf numFmtId="9" fontId="10" fillId="3" borderId="0" xfId="14" applyNumberFormat="1" applyFont="1" applyFill="1" applyAlignment="1">
      <alignment horizontal="center"/>
    </xf>
    <xf numFmtId="0" fontId="10" fillId="3" borderId="0" xfId="14" applyFont="1" applyFill="1"/>
    <xf numFmtId="0" fontId="10" fillId="3" borderId="0" xfId="13" applyFont="1" applyFill="1" applyBorder="1" applyAlignment="1" applyProtection="1">
      <alignment horizontal="left" vertical="center"/>
    </xf>
    <xf numFmtId="0" fontId="10" fillId="3" borderId="0" xfId="13" applyFont="1" applyFill="1" applyBorder="1" applyAlignment="1" applyProtection="1">
      <alignment vertical="center"/>
    </xf>
    <xf numFmtId="2" fontId="10" fillId="3" borderId="6" xfId="13" applyNumberFormat="1" applyFont="1" applyFill="1" applyBorder="1" applyAlignment="1" applyProtection="1">
      <alignment horizontal="center"/>
    </xf>
    <xf numFmtId="0" fontId="10" fillId="3" borderId="7" xfId="13" applyFont="1" applyFill="1" applyBorder="1" applyAlignment="1" applyProtection="1">
      <alignment vertical="center"/>
    </xf>
    <xf numFmtId="0" fontId="10" fillId="3" borderId="7" xfId="13" applyFont="1" applyFill="1" applyBorder="1" applyProtection="1"/>
    <xf numFmtId="0" fontId="10" fillId="3" borderId="8" xfId="13" applyFont="1" applyFill="1" applyBorder="1" applyProtection="1"/>
    <xf numFmtId="0" fontId="17" fillId="0" borderId="0" xfId="0" applyFont="1"/>
    <xf numFmtId="0" fontId="18" fillId="0" borderId="0" xfId="0" applyFont="1"/>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0" xfId="0" applyFont="1" applyFill="1" applyBorder="1" applyAlignment="1">
      <alignment horizontal="center" vertical="center"/>
    </xf>
    <xf numFmtId="0" fontId="18" fillId="6" borderId="0" xfId="0" applyFont="1" applyFill="1" applyBorder="1" applyAlignment="1">
      <alignment horizontal="center" vertical="center"/>
    </xf>
    <xf numFmtId="0" fontId="18" fillId="5" borderId="5" xfId="0" applyFont="1" applyFill="1" applyBorder="1" applyAlignment="1">
      <alignment horizontal="center" vertical="center"/>
    </xf>
    <xf numFmtId="0" fontId="18" fillId="5" borderId="5" xfId="0" applyFont="1" applyFill="1" applyBorder="1" applyAlignment="1">
      <alignment vertical="top"/>
    </xf>
    <xf numFmtId="0" fontId="18" fillId="5" borderId="0" xfId="0" applyFont="1" applyFill="1" applyBorder="1" applyAlignment="1">
      <alignment vertical="top"/>
    </xf>
    <xf numFmtId="0" fontId="18" fillId="5" borderId="11" xfId="0" applyFont="1" applyFill="1" applyBorder="1" applyAlignment="1">
      <alignment horizontal="center" vertical="center"/>
    </xf>
    <xf numFmtId="0" fontId="18" fillId="5" borderId="7" xfId="0" applyFont="1" applyFill="1" applyBorder="1" applyAlignment="1">
      <alignment vertical="top"/>
    </xf>
    <xf numFmtId="0" fontId="18" fillId="5" borderId="8" xfId="0" applyFont="1" applyFill="1" applyBorder="1" applyAlignment="1">
      <alignment vertical="top"/>
    </xf>
    <xf numFmtId="0" fontId="19" fillId="0" borderId="0" xfId="0" applyFont="1" applyAlignment="1">
      <alignment vertical="center"/>
    </xf>
    <xf numFmtId="0" fontId="18" fillId="0" borderId="0" xfId="0" applyFont="1" applyAlignment="1">
      <alignment vertical="center"/>
    </xf>
    <xf numFmtId="0" fontId="18" fillId="7" borderId="0" xfId="0" applyFont="1" applyFill="1" applyAlignment="1">
      <alignment horizontal="center" vertical="center"/>
    </xf>
    <xf numFmtId="0" fontId="18" fillId="5" borderId="14" xfId="0" applyFont="1" applyFill="1" applyBorder="1" applyAlignment="1">
      <alignment horizontal="center"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18" fillId="6" borderId="6" xfId="0" applyFont="1" applyFill="1" applyBorder="1" applyAlignment="1">
      <alignment horizontal="center" vertical="center"/>
    </xf>
    <xf numFmtId="0" fontId="18" fillId="5" borderId="9" xfId="0" applyFont="1" applyFill="1" applyBorder="1" applyAlignment="1">
      <alignment horizontal="center" vertical="center"/>
    </xf>
    <xf numFmtId="2" fontId="18" fillId="5" borderId="5" xfId="0" applyNumberFormat="1" applyFont="1" applyFill="1" applyBorder="1" applyAlignment="1">
      <alignment horizontal="center" vertical="center"/>
    </xf>
    <xf numFmtId="169" fontId="18" fillId="5" borderId="10" xfId="0" applyNumberFormat="1" applyFont="1" applyFill="1" applyBorder="1" applyAlignment="1">
      <alignment horizontal="center" vertical="center"/>
    </xf>
    <xf numFmtId="0" fontId="18" fillId="5" borderId="6" xfId="0" applyFont="1" applyFill="1" applyBorder="1" applyAlignment="1">
      <alignment horizontal="center" vertical="center"/>
    </xf>
    <xf numFmtId="2" fontId="18" fillId="5" borderId="7" xfId="0" applyNumberFormat="1" applyFont="1" applyFill="1" applyBorder="1" applyAlignment="1">
      <alignment horizontal="center" vertical="center"/>
    </xf>
    <xf numFmtId="2" fontId="18" fillId="5" borderId="8" xfId="0" applyNumberFormat="1" applyFont="1" applyFill="1" applyBorder="1" applyAlignment="1">
      <alignment horizontal="center" vertical="center"/>
    </xf>
    <xf numFmtId="169" fontId="18" fillId="5" borderId="11" xfId="0" applyNumberFormat="1" applyFont="1" applyFill="1" applyBorder="1" applyAlignment="1">
      <alignment horizontal="center" vertical="center"/>
    </xf>
    <xf numFmtId="166" fontId="18" fillId="0" borderId="0" xfId="0" applyNumberFormat="1" applyFont="1" applyAlignment="1">
      <alignment horizontal="center"/>
    </xf>
    <xf numFmtId="169" fontId="18" fillId="0" borderId="0" xfId="0" applyNumberFormat="1" applyFont="1" applyAlignment="1">
      <alignment horizontal="center"/>
    </xf>
    <xf numFmtId="1" fontId="18" fillId="7" borderId="0" xfId="0" applyNumberFormat="1" applyFont="1" applyFill="1" applyAlignment="1">
      <alignment horizontal="center"/>
    </xf>
    <xf numFmtId="0" fontId="18" fillId="0" borderId="0" xfId="0" applyFont="1" applyAlignment="1">
      <alignment horizontal="left" vertical="center"/>
    </xf>
    <xf numFmtId="0" fontId="18" fillId="0" borderId="0" xfId="0" applyFont="1" applyAlignment="1">
      <alignment horizontal="left" vertical="center" indent="4"/>
    </xf>
    <xf numFmtId="0" fontId="18" fillId="5" borderId="1" xfId="0" applyFont="1" applyFill="1" applyBorder="1" applyAlignment="1">
      <alignment horizontal="center" vertical="center" wrapText="1"/>
    </xf>
    <xf numFmtId="16" fontId="18" fillId="5" borderId="15" xfId="0" quotePrefix="1" applyNumberFormat="1" applyFont="1" applyFill="1" applyBorder="1" applyAlignment="1">
      <alignment horizontal="center" vertical="center" wrapText="1"/>
    </xf>
    <xf numFmtId="0" fontId="18" fillId="5" borderId="15" xfId="0" quotePrefix="1" applyFont="1" applyFill="1" applyBorder="1" applyAlignment="1">
      <alignment horizontal="center" vertical="center" wrapText="1"/>
    </xf>
    <xf numFmtId="0" fontId="18" fillId="5" borderId="13" xfId="0" quotePrefix="1" applyFont="1" applyFill="1" applyBorder="1" applyAlignment="1">
      <alignment horizontal="center" vertical="center" wrapText="1"/>
    </xf>
    <xf numFmtId="0" fontId="18" fillId="5" borderId="10" xfId="0" applyFont="1" applyFill="1" applyBorder="1" applyAlignment="1">
      <alignment horizontal="center" vertical="center" wrapText="1"/>
    </xf>
    <xf numFmtId="166" fontId="18" fillId="5" borderId="0" xfId="0" applyNumberFormat="1" applyFont="1" applyFill="1" applyBorder="1" applyAlignment="1">
      <alignment horizontal="center"/>
    </xf>
    <xf numFmtId="166" fontId="18" fillId="5" borderId="5" xfId="0" applyNumberFormat="1" applyFont="1" applyFill="1" applyBorder="1" applyAlignment="1">
      <alignment horizontal="center"/>
    </xf>
    <xf numFmtId="0" fontId="18" fillId="5" borderId="11" xfId="0" applyFont="1" applyFill="1" applyBorder="1" applyAlignment="1">
      <alignment horizontal="center" vertical="center" wrapText="1"/>
    </xf>
    <xf numFmtId="166" fontId="18" fillId="5" borderId="7" xfId="0" applyNumberFormat="1" applyFont="1" applyFill="1" applyBorder="1" applyAlignment="1">
      <alignment horizontal="center"/>
    </xf>
    <xf numFmtId="166" fontId="18" fillId="5" borderId="8" xfId="0" applyNumberFormat="1" applyFont="1" applyFill="1" applyBorder="1" applyAlignment="1">
      <alignment horizontal="center"/>
    </xf>
    <xf numFmtId="0" fontId="18" fillId="0" borderId="0" xfId="0" applyFont="1" applyAlignment="1">
      <alignment horizontal="center"/>
    </xf>
    <xf numFmtId="0" fontId="18" fillId="5" borderId="9" xfId="0" applyFont="1" applyFill="1" applyBorder="1" applyAlignment="1">
      <alignment horizontal="center" vertical="center" wrapText="1"/>
    </xf>
    <xf numFmtId="166" fontId="18" fillId="5" borderId="2" xfId="0" applyNumberFormat="1" applyFont="1" applyFill="1" applyBorder="1" applyAlignment="1">
      <alignment horizontal="center"/>
    </xf>
    <xf numFmtId="166" fontId="18" fillId="5" borderId="3" xfId="0" applyNumberFormat="1" applyFont="1" applyFill="1" applyBorder="1" applyAlignment="1">
      <alignment horizontal="center"/>
    </xf>
    <xf numFmtId="169" fontId="18" fillId="5" borderId="10" xfId="0" applyNumberFormat="1" applyFont="1" applyFill="1" applyBorder="1" applyAlignment="1">
      <alignment horizontal="center" vertical="center" wrapText="1"/>
    </xf>
    <xf numFmtId="169" fontId="18" fillId="5" borderId="11" xfId="0" applyNumberFormat="1" applyFont="1" applyFill="1" applyBorder="1" applyAlignment="1">
      <alignment horizontal="center" vertical="center" wrapText="1"/>
    </xf>
    <xf numFmtId="0" fontId="22" fillId="0" borderId="0" xfId="15" applyFont="1" applyProtection="1"/>
    <xf numFmtId="2" fontId="22" fillId="0" borderId="0" xfId="15" applyNumberFormat="1" applyFont="1" applyProtection="1"/>
    <xf numFmtId="0" fontId="23" fillId="0" borderId="0" xfId="15" applyFont="1" applyProtection="1"/>
    <xf numFmtId="169" fontId="18" fillId="7" borderId="0" xfId="0" applyNumberFormat="1" applyFont="1" applyFill="1" applyAlignment="1">
      <alignment horizontal="center" vertical="center"/>
    </xf>
    <xf numFmtId="0" fontId="6" fillId="8" borderId="4" xfId="1" applyFont="1" applyFill="1" applyBorder="1" applyAlignment="1" applyProtection="1">
      <alignment horizontal="center"/>
    </xf>
    <xf numFmtId="0" fontId="3" fillId="8" borderId="0" xfId="1" applyFont="1" applyFill="1" applyBorder="1" applyProtection="1"/>
    <xf numFmtId="0" fontId="3" fillId="8" borderId="5" xfId="1" applyFont="1" applyFill="1" applyBorder="1" applyProtection="1"/>
    <xf numFmtId="2" fontId="7" fillId="8" borderId="4" xfId="1" applyNumberFormat="1" applyFont="1" applyFill="1" applyBorder="1" applyAlignment="1" applyProtection="1">
      <alignment horizontal="center"/>
    </xf>
    <xf numFmtId="0" fontId="3" fillId="8" borderId="1" xfId="1" applyFont="1" applyFill="1" applyBorder="1" applyAlignment="1" applyProtection="1">
      <alignment horizontal="right"/>
    </xf>
    <xf numFmtId="9" fontId="3" fillId="8" borderId="1" xfId="1" applyNumberFormat="1" applyFont="1" applyFill="1" applyBorder="1" applyAlignment="1" applyProtection="1">
      <alignment horizontal="right"/>
    </xf>
    <xf numFmtId="0" fontId="3" fillId="8" borderId="0" xfId="1" applyFont="1" applyFill="1" applyBorder="1" applyAlignment="1" applyProtection="1">
      <alignment horizontal="left"/>
    </xf>
    <xf numFmtId="0" fontId="9" fillId="8" borderId="5" xfId="1" applyFont="1" applyFill="1" applyBorder="1" applyProtection="1"/>
    <xf numFmtId="0" fontId="10" fillId="8" borderId="0" xfId="1" applyFont="1" applyFill="1" applyBorder="1" applyAlignment="1" applyProtection="1">
      <alignment horizontal="center" vertical="center" wrapText="1"/>
    </xf>
    <xf numFmtId="0" fontId="10" fillId="8" borderId="12" xfId="1" applyFont="1" applyFill="1" applyBorder="1" applyAlignment="1" applyProtection="1">
      <alignment horizontal="center" vertical="center" wrapText="1"/>
    </xf>
    <xf numFmtId="0" fontId="10" fillId="8" borderId="13" xfId="1" applyFont="1" applyFill="1" applyBorder="1" applyAlignment="1" applyProtection="1">
      <alignment horizontal="right" vertical="center" wrapText="1"/>
    </xf>
    <xf numFmtId="0" fontId="10" fillId="8" borderId="9" xfId="1" applyFont="1" applyFill="1" applyBorder="1" applyAlignment="1" applyProtection="1">
      <alignment horizontal="center"/>
    </xf>
    <xf numFmtId="3" fontId="10" fillId="2" borderId="2" xfId="1" applyNumberFormat="1" applyFont="1" applyFill="1" applyBorder="1" applyAlignment="1" applyProtection="1">
      <alignment horizontal="right"/>
    </xf>
    <xf numFmtId="9" fontId="3" fillId="2" borderId="3" xfId="16" applyFont="1" applyFill="1" applyBorder="1" applyProtection="1"/>
    <xf numFmtId="0" fontId="24" fillId="8" borderId="5" xfId="1" applyFont="1" applyFill="1" applyBorder="1" applyAlignment="1" applyProtection="1">
      <alignment vertical="center" wrapText="1"/>
    </xf>
    <xf numFmtId="0" fontId="10" fillId="8" borderId="10" xfId="1" applyFont="1" applyFill="1" applyBorder="1" applyAlignment="1" applyProtection="1">
      <alignment horizontal="center"/>
    </xf>
    <xf numFmtId="3" fontId="10" fillId="2" borderId="0" xfId="1" applyNumberFormat="1" applyFont="1" applyFill="1" applyBorder="1" applyAlignment="1" applyProtection="1">
      <alignment horizontal="right"/>
    </xf>
    <xf numFmtId="9" fontId="3" fillId="2" borderId="5" xfId="16" applyFont="1" applyFill="1" applyBorder="1" applyProtection="1"/>
    <xf numFmtId="0" fontId="10" fillId="8" borderId="11" xfId="1" applyFont="1" applyFill="1" applyBorder="1" applyAlignment="1" applyProtection="1">
      <alignment horizontal="center"/>
    </xf>
    <xf numFmtId="3" fontId="10" fillId="2" borderId="7" xfId="1" applyNumberFormat="1" applyFont="1" applyFill="1" applyBorder="1" applyAlignment="1" applyProtection="1">
      <alignment horizontal="right"/>
    </xf>
    <xf numFmtId="9" fontId="3" fillId="2" borderId="8" xfId="16" applyFont="1" applyFill="1" applyBorder="1" applyProtection="1"/>
    <xf numFmtId="0" fontId="10" fillId="8" borderId="2" xfId="1" applyFont="1" applyFill="1" applyBorder="1" applyAlignment="1" applyProtection="1">
      <alignment horizontal="center"/>
    </xf>
    <xf numFmtId="3" fontId="10" fillId="2" borderId="2" xfId="1" applyNumberFormat="1" applyFont="1" applyFill="1" applyBorder="1" applyAlignment="1" applyProtection="1">
      <alignment horizontal="center"/>
    </xf>
    <xf numFmtId="9" fontId="3" fillId="2" borderId="2" xfId="16" applyFont="1" applyFill="1" applyBorder="1" applyProtection="1"/>
    <xf numFmtId="0" fontId="10" fillId="8" borderId="0" xfId="1" applyFont="1" applyFill="1" applyBorder="1" applyAlignment="1" applyProtection="1">
      <alignment horizontal="center"/>
    </xf>
    <xf numFmtId="3" fontId="10" fillId="8" borderId="12" xfId="1" applyNumberFormat="1" applyFont="1" applyFill="1" applyBorder="1" applyAlignment="1" applyProtection="1">
      <alignment horizontal="center"/>
    </xf>
    <xf numFmtId="9" fontId="3" fillId="2" borderId="13" xfId="16" applyFont="1" applyFill="1" applyBorder="1" applyAlignment="1" applyProtection="1">
      <alignment horizontal="center"/>
    </xf>
    <xf numFmtId="3" fontId="10" fillId="2" borderId="14" xfId="1" applyNumberFormat="1" applyFont="1" applyFill="1" applyBorder="1" applyAlignment="1" applyProtection="1">
      <alignment horizontal="right"/>
    </xf>
    <xf numFmtId="3" fontId="10" fillId="2" borderId="3" xfId="1" applyNumberFormat="1" applyFont="1" applyFill="1" applyBorder="1" applyAlignment="1" applyProtection="1">
      <alignment horizontal="right"/>
    </xf>
    <xf numFmtId="3" fontId="10" fillId="2" borderId="4" xfId="1" applyNumberFormat="1" applyFont="1" applyFill="1" applyBorder="1" applyAlignment="1" applyProtection="1">
      <alignment horizontal="right"/>
    </xf>
    <xf numFmtId="3" fontId="10" fillId="2" borderId="5" xfId="1" applyNumberFormat="1" applyFont="1" applyFill="1" applyBorder="1" applyAlignment="1" applyProtection="1">
      <alignment horizontal="right"/>
    </xf>
    <xf numFmtId="3" fontId="10" fillId="2" borderId="6" xfId="1" applyNumberFormat="1" applyFont="1" applyFill="1" applyBorder="1" applyAlignment="1" applyProtection="1">
      <alignment horizontal="right"/>
    </xf>
    <xf numFmtId="3" fontId="10" fillId="2" borderId="8" xfId="1" applyNumberFormat="1" applyFont="1" applyFill="1" applyBorder="1" applyAlignment="1" applyProtection="1">
      <alignment horizontal="right"/>
    </xf>
    <xf numFmtId="3" fontId="10" fillId="8" borderId="0" xfId="1" applyNumberFormat="1" applyFont="1" applyFill="1" applyBorder="1" applyAlignment="1" applyProtection="1">
      <alignment horizontal="center"/>
    </xf>
    <xf numFmtId="0" fontId="3" fillId="8" borderId="0" xfId="1" applyFont="1" applyFill="1" applyBorder="1" applyAlignment="1" applyProtection="1">
      <alignment vertical="center"/>
    </xf>
    <xf numFmtId="3" fontId="10" fillId="2" borderId="0" xfId="1" applyNumberFormat="1" applyFont="1" applyFill="1" applyBorder="1" applyAlignment="1" applyProtection="1">
      <alignment horizontal="center"/>
    </xf>
    <xf numFmtId="2" fontId="7" fillId="8" borderId="6" xfId="1" applyNumberFormat="1" applyFont="1" applyFill="1" applyBorder="1" applyAlignment="1" applyProtection="1">
      <alignment horizontal="center"/>
    </xf>
    <xf numFmtId="0" fontId="3" fillId="2" borderId="7" xfId="1" applyFont="1" applyFill="1" applyBorder="1" applyProtection="1"/>
    <xf numFmtId="0" fontId="3" fillId="8" borderId="7" xfId="1" applyFont="1" applyFill="1" applyBorder="1" applyProtection="1"/>
    <xf numFmtId="0" fontId="3" fillId="8" borderId="8" xfId="1" applyFont="1" applyFill="1" applyBorder="1" applyProtection="1"/>
    <xf numFmtId="43" fontId="3" fillId="0" borderId="0" xfId="7" applyFont="1" applyProtection="1"/>
    <xf numFmtId="0" fontId="10" fillId="8" borderId="1" xfId="1" applyFont="1" applyFill="1" applyBorder="1" applyAlignment="1" applyProtection="1">
      <alignment horizontal="center" vertical="center" wrapText="1"/>
    </xf>
    <xf numFmtId="10" fontId="10" fillId="2" borderId="2" xfId="6" applyNumberFormat="1" applyFont="1" applyFill="1" applyBorder="1" applyAlignment="1" applyProtection="1">
      <alignment horizontal="right"/>
    </xf>
    <xf numFmtId="10" fontId="10" fillId="2" borderId="9" xfId="6" applyNumberFormat="1" applyFont="1" applyFill="1" applyBorder="1" applyAlignment="1" applyProtection="1">
      <alignment horizontal="right"/>
    </xf>
    <xf numFmtId="10" fontId="10" fillId="2" borderId="0" xfId="6" applyNumberFormat="1" applyFont="1" applyFill="1" applyBorder="1" applyAlignment="1" applyProtection="1">
      <alignment horizontal="right"/>
    </xf>
    <xf numFmtId="10" fontId="10" fillId="2" borderId="10" xfId="6" applyNumberFormat="1" applyFont="1" applyFill="1" applyBorder="1" applyAlignment="1" applyProtection="1">
      <alignment horizontal="right"/>
    </xf>
    <xf numFmtId="10" fontId="10" fillId="2" borderId="7" xfId="6" applyNumberFormat="1" applyFont="1" applyFill="1" applyBorder="1" applyAlignment="1" applyProtection="1">
      <alignment horizontal="right"/>
    </xf>
    <xf numFmtId="10" fontId="10" fillId="2" borderId="11" xfId="6" applyNumberFormat="1" applyFont="1" applyFill="1" applyBorder="1" applyAlignment="1" applyProtection="1">
      <alignment horizontal="right"/>
    </xf>
    <xf numFmtId="10" fontId="3" fillId="0" borderId="0" xfId="1" applyNumberFormat="1" applyFont="1" applyProtection="1"/>
    <xf numFmtId="0" fontId="25" fillId="0" borderId="0" xfId="1" applyFont="1" applyProtection="1"/>
    <xf numFmtId="170" fontId="3" fillId="4" borderId="1" xfId="1" applyNumberFormat="1" applyFont="1" applyFill="1" applyBorder="1" applyProtection="1"/>
    <xf numFmtId="0" fontId="10" fillId="2" borderId="2" xfId="1" applyFont="1" applyFill="1" applyBorder="1" applyProtection="1"/>
    <xf numFmtId="0" fontId="10" fillId="2" borderId="3" xfId="1" applyFont="1" applyFill="1" applyBorder="1" applyProtection="1"/>
    <xf numFmtId="0" fontId="10" fillId="8" borderId="0" xfId="1" applyFont="1" applyFill="1" applyBorder="1" applyProtection="1"/>
    <xf numFmtId="0" fontId="10" fillId="8" borderId="5" xfId="1" applyFont="1" applyFill="1" applyBorder="1" applyProtection="1"/>
    <xf numFmtId="0" fontId="10" fillId="8" borderId="4" xfId="1" applyFont="1" applyFill="1" applyBorder="1" applyAlignment="1" applyProtection="1">
      <alignment horizontal="center"/>
    </xf>
    <xf numFmtId="0" fontId="10" fillId="8" borderId="0" xfId="1" applyFont="1" applyFill="1" applyBorder="1" applyAlignment="1" applyProtection="1">
      <alignment vertical="center"/>
    </xf>
    <xf numFmtId="0" fontId="10" fillId="8" borderId="12" xfId="1" applyFont="1" applyFill="1" applyBorder="1" applyAlignment="1" applyProtection="1">
      <alignment horizontal="centerContinuous" vertical="center" wrapText="1"/>
    </xf>
    <xf numFmtId="0" fontId="10" fillId="8" borderId="15" xfId="1" applyFont="1" applyFill="1" applyBorder="1" applyAlignment="1" applyProtection="1">
      <alignment horizontal="centerContinuous" vertical="center" wrapText="1"/>
    </xf>
    <xf numFmtId="0" fontId="10" fillId="8" borderId="13" xfId="1" applyFont="1" applyFill="1" applyBorder="1" applyAlignment="1" applyProtection="1">
      <alignment horizontal="centerContinuous" vertical="center" wrapText="1"/>
    </xf>
    <xf numFmtId="0" fontId="10" fillId="8" borderId="15" xfId="1" applyFont="1" applyFill="1" applyBorder="1" applyAlignment="1" applyProtection="1">
      <alignment horizontal="center" vertical="center" wrapText="1"/>
    </xf>
    <xf numFmtId="0" fontId="10" fillId="8" borderId="13" xfId="1" applyFont="1" applyFill="1" applyBorder="1" applyAlignment="1" applyProtection="1">
      <alignment horizontal="center" vertical="center" wrapText="1"/>
    </xf>
    <xf numFmtId="0" fontId="10" fillId="8" borderId="10" xfId="1" applyFont="1" applyFill="1" applyBorder="1" applyAlignment="1" applyProtection="1">
      <alignment horizontal="center" vertical="center" wrapText="1"/>
    </xf>
    <xf numFmtId="3" fontId="10" fillId="8" borderId="4" xfId="1" applyNumberFormat="1" applyFont="1" applyFill="1" applyBorder="1" applyAlignment="1" applyProtection="1">
      <alignment horizontal="center" vertical="center" wrapText="1"/>
    </xf>
    <xf numFmtId="3" fontId="10" fillId="8" borderId="0" xfId="1" applyNumberFormat="1" applyFont="1" applyFill="1" applyBorder="1" applyAlignment="1" applyProtection="1">
      <alignment horizontal="center" vertical="center" wrapText="1"/>
    </xf>
    <xf numFmtId="3" fontId="10" fillId="8" borderId="5" xfId="1" applyNumberFormat="1" applyFont="1" applyFill="1" applyBorder="1" applyAlignment="1" applyProtection="1">
      <alignment horizontal="center" vertical="center" wrapText="1"/>
    </xf>
    <xf numFmtId="0" fontId="10" fillId="8" borderId="5" xfId="1" applyFont="1" applyFill="1" applyBorder="1" applyAlignment="1" applyProtection="1">
      <alignment horizontal="center"/>
    </xf>
    <xf numFmtId="0" fontId="10" fillId="8" borderId="11" xfId="1" applyFont="1" applyFill="1" applyBorder="1" applyAlignment="1" applyProtection="1">
      <alignment horizontal="center" vertical="center" wrapText="1"/>
    </xf>
    <xf numFmtId="3" fontId="10" fillId="8" borderId="6" xfId="1" applyNumberFormat="1" applyFont="1" applyFill="1" applyBorder="1" applyAlignment="1" applyProtection="1">
      <alignment horizontal="center" vertical="center" wrapText="1"/>
    </xf>
    <xf numFmtId="0" fontId="10" fillId="8" borderId="7" xfId="1" applyFont="1" applyFill="1" applyBorder="1" applyAlignment="1" applyProtection="1">
      <alignment horizontal="center"/>
    </xf>
    <xf numFmtId="0" fontId="10" fillId="8" borderId="8" xfId="1" applyFont="1" applyFill="1" applyBorder="1" applyAlignment="1" applyProtection="1">
      <alignment horizontal="center"/>
    </xf>
    <xf numFmtId="0" fontId="10" fillId="8" borderId="4" xfId="1" applyFont="1" applyFill="1" applyBorder="1" applyAlignment="1" applyProtection="1">
      <alignment horizontal="center" vertical="center" wrapText="1"/>
    </xf>
    <xf numFmtId="0" fontId="10" fillId="8" borderId="6" xfId="1" applyFont="1" applyFill="1" applyBorder="1" applyAlignment="1" applyProtection="1">
      <alignment horizontal="center" vertical="center" wrapText="1"/>
    </xf>
    <xf numFmtId="3" fontId="10" fillId="8" borderId="8" xfId="1" applyNumberFormat="1" applyFont="1" applyFill="1" applyBorder="1" applyAlignment="1" applyProtection="1">
      <alignment horizontal="center" vertical="center" wrapText="1"/>
    </xf>
    <xf numFmtId="0" fontId="10" fillId="2" borderId="4" xfId="1" applyFont="1" applyFill="1" applyBorder="1" applyProtection="1"/>
    <xf numFmtId="0" fontId="10" fillId="2" borderId="0" xfId="1" applyFont="1" applyFill="1" applyBorder="1" applyProtection="1"/>
    <xf numFmtId="0" fontId="10" fillId="2" borderId="5" xfId="1" applyFont="1" applyFill="1" applyBorder="1" applyProtection="1"/>
    <xf numFmtId="9" fontId="10" fillId="2" borderId="14" xfId="17" applyFont="1" applyFill="1" applyBorder="1" applyProtection="1"/>
    <xf numFmtId="0" fontId="10" fillId="2" borderId="14" xfId="1" applyFont="1" applyFill="1" applyBorder="1" applyProtection="1"/>
    <xf numFmtId="9" fontId="10" fillId="2" borderId="4" xfId="17" applyFont="1" applyFill="1" applyBorder="1" applyProtection="1"/>
    <xf numFmtId="9" fontId="10" fillId="8" borderId="4" xfId="17" applyFont="1" applyFill="1" applyBorder="1" applyAlignment="1" applyProtection="1">
      <alignment vertical="center"/>
    </xf>
    <xf numFmtId="0" fontId="10" fillId="8" borderId="4" xfId="1" applyFont="1" applyFill="1" applyBorder="1" applyProtection="1"/>
    <xf numFmtId="171" fontId="10" fillId="2" borderId="6" xfId="17" applyNumberFormat="1" applyFont="1" applyFill="1" applyBorder="1" applyProtection="1"/>
    <xf numFmtId="0" fontId="10" fillId="2" borderId="6" xfId="1" applyFont="1" applyFill="1" applyBorder="1" applyProtection="1"/>
    <xf numFmtId="0" fontId="10" fillId="2" borderId="7" xfId="1" applyFont="1" applyFill="1" applyBorder="1" applyProtection="1"/>
    <xf numFmtId="0" fontId="10" fillId="2" borderId="8" xfId="1" applyFont="1" applyFill="1" applyBorder="1" applyProtection="1"/>
    <xf numFmtId="0" fontId="3" fillId="3" borderId="1"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3" borderId="15" xfId="1" applyFont="1" applyFill="1" applyBorder="1" applyProtection="1"/>
    <xf numFmtId="0" fontId="3" fillId="3" borderId="13" xfId="1" applyFont="1" applyFill="1" applyBorder="1" applyProtection="1"/>
    <xf numFmtId="0" fontId="10" fillId="8" borderId="6" xfId="1" applyFont="1" applyFill="1" applyBorder="1" applyAlignment="1" applyProtection="1">
      <alignment horizontal="center"/>
    </xf>
    <xf numFmtId="0" fontId="10" fillId="8" borderId="7" xfId="1" applyFont="1" applyFill="1" applyBorder="1" applyAlignment="1" applyProtection="1">
      <alignment vertical="center"/>
    </xf>
    <xf numFmtId="0" fontId="10" fillId="8" borderId="7" xfId="1" applyFont="1" applyFill="1" applyBorder="1" applyAlignment="1" applyProtection="1">
      <alignment vertical="center" wrapText="1"/>
    </xf>
    <xf numFmtId="0" fontId="10" fillId="8" borderId="8" xfId="1" applyFont="1" applyFill="1" applyBorder="1" applyAlignment="1" applyProtection="1">
      <alignment vertical="center" wrapText="1"/>
    </xf>
    <xf numFmtId="0" fontId="10" fillId="8" borderId="15" xfId="1" quotePrefix="1" applyFont="1" applyFill="1" applyBorder="1" applyAlignment="1" applyProtection="1">
      <alignment horizontal="center" vertical="center" wrapText="1"/>
    </xf>
    <xf numFmtId="0" fontId="10" fillId="8" borderId="13" xfId="1" quotePrefix="1" applyFont="1" applyFill="1" applyBorder="1" applyAlignment="1" applyProtection="1">
      <alignment horizontal="center" vertical="center" wrapText="1"/>
    </xf>
    <xf numFmtId="172" fontId="10" fillId="8" borderId="4" xfId="1" applyNumberFormat="1" applyFont="1" applyFill="1" applyBorder="1" applyAlignment="1" applyProtection="1">
      <alignment horizontal="center" vertical="center" wrapText="1"/>
    </xf>
    <xf numFmtId="172" fontId="10" fillId="8" borderId="5" xfId="1" applyNumberFormat="1" applyFont="1" applyFill="1" applyBorder="1" applyAlignment="1" applyProtection="1">
      <alignment horizontal="center" vertical="center" wrapText="1"/>
    </xf>
    <xf numFmtId="172" fontId="10" fillId="8" borderId="5" xfId="1" applyNumberFormat="1" applyFont="1" applyFill="1" applyBorder="1" applyAlignment="1" applyProtection="1">
      <alignment horizontal="center"/>
    </xf>
    <xf numFmtId="173" fontId="10" fillId="8" borderId="4" xfId="1" applyNumberFormat="1" applyFont="1" applyFill="1" applyBorder="1" applyAlignment="1" applyProtection="1">
      <alignment horizontal="center" vertical="center" wrapText="1"/>
    </xf>
    <xf numFmtId="172" fontId="10" fillId="8" borderId="7" xfId="1" applyNumberFormat="1" applyFont="1" applyFill="1" applyBorder="1" applyAlignment="1" applyProtection="1">
      <alignment horizontal="center"/>
    </xf>
    <xf numFmtId="172" fontId="10" fillId="8" borderId="8" xfId="1" applyNumberFormat="1" applyFont="1" applyFill="1" applyBorder="1" applyAlignment="1" applyProtection="1">
      <alignment horizontal="center"/>
    </xf>
    <xf numFmtId="172" fontId="10" fillId="0" borderId="0" xfId="1" applyNumberFormat="1" applyFont="1" applyProtection="1"/>
    <xf numFmtId="174" fontId="10" fillId="0" borderId="0" xfId="7" applyNumberFormat="1" applyFont="1" applyProtection="1"/>
    <xf numFmtId="2" fontId="10" fillId="0" borderId="0" xfId="1" applyNumberFormat="1" applyFont="1" applyProtection="1"/>
    <xf numFmtId="0" fontId="4" fillId="0" borderId="0" xfId="1" applyFont="1" applyProtection="1"/>
    <xf numFmtId="3" fontId="4" fillId="0" borderId="0" xfId="1" applyNumberFormat="1" applyFont="1" applyProtection="1"/>
    <xf numFmtId="3" fontId="10" fillId="0" borderId="0" xfId="1" applyNumberFormat="1" applyFont="1" applyProtection="1"/>
    <xf numFmtId="0" fontId="10" fillId="0" borderId="0" xfId="1" quotePrefix="1" applyFont="1" applyProtection="1"/>
    <xf numFmtId="0" fontId="10" fillId="0" borderId="0" xfId="1" applyFont="1" applyAlignment="1" applyProtection="1">
      <alignment horizontal="right"/>
    </xf>
    <xf numFmtId="167" fontId="4" fillId="0" borderId="0" xfId="7" applyNumberFormat="1" applyFont="1" applyProtection="1"/>
    <xf numFmtId="167" fontId="10" fillId="0" borderId="0" xfId="1" applyNumberFormat="1" applyFont="1" applyProtection="1"/>
    <xf numFmtId="43" fontId="10" fillId="0" borderId="0" xfId="1" applyNumberFormat="1" applyFont="1" applyProtection="1"/>
    <xf numFmtId="164" fontId="10" fillId="0" borderId="0" xfId="6" applyNumberFormat="1" applyFont="1" applyProtection="1"/>
    <xf numFmtId="164" fontId="10" fillId="0" borderId="0" xfId="1" applyNumberFormat="1" applyFont="1" applyProtection="1"/>
    <xf numFmtId="0" fontId="4" fillId="0" borderId="0" xfId="1" applyFont="1" applyAlignment="1" applyProtection="1">
      <alignment horizontal="right"/>
    </xf>
    <xf numFmtId="9" fontId="4" fillId="0" borderId="0" xfId="6" applyFont="1" applyProtection="1"/>
    <xf numFmtId="173" fontId="10" fillId="0" borderId="0" xfId="1" applyNumberFormat="1" applyFont="1" applyProtection="1"/>
    <xf numFmtId="4" fontId="10" fillId="0" borderId="0" xfId="1" applyNumberFormat="1" applyFont="1" applyProtection="1"/>
    <xf numFmtId="4" fontId="10" fillId="8" borderId="4" xfId="1" applyNumberFormat="1" applyFont="1" applyFill="1" applyBorder="1" applyAlignment="1" applyProtection="1">
      <alignment horizontal="center" vertical="center" wrapText="1"/>
    </xf>
    <xf numFmtId="175" fontId="10" fillId="0" borderId="0" xfId="1" applyNumberFormat="1" applyFont="1" applyProtection="1"/>
    <xf numFmtId="6" fontId="10" fillId="0" borderId="0" xfId="1" applyNumberFormat="1" applyFont="1" applyProtection="1"/>
    <xf numFmtId="9" fontId="10" fillId="0" borderId="0" xfId="1" applyNumberFormat="1" applyFont="1" applyProtection="1"/>
    <xf numFmtId="10" fontId="10" fillId="0" borderId="0" xfId="1" applyNumberFormat="1" applyFont="1" applyProtection="1"/>
    <xf numFmtId="0" fontId="3" fillId="3" borderId="0" xfId="1" applyFont="1" applyFill="1" applyBorder="1" applyAlignment="1" applyProtection="1">
      <alignment vertical="top" wrapText="1"/>
    </xf>
    <xf numFmtId="0" fontId="3" fillId="3" borderId="0" xfId="1" applyFont="1" applyFill="1" applyBorder="1" applyAlignment="1" applyProtection="1">
      <alignment vertical="top"/>
    </xf>
    <xf numFmtId="0" fontId="10" fillId="8" borderId="12" xfId="1" applyFont="1" applyFill="1" applyBorder="1" applyAlignment="1" applyProtection="1">
      <alignment horizontal="center" wrapText="1"/>
    </xf>
    <xf numFmtId="0" fontId="10" fillId="8" borderId="15" xfId="1" applyFont="1" applyFill="1" applyBorder="1" applyAlignment="1" applyProtection="1">
      <alignment horizontal="center" wrapText="1"/>
    </xf>
    <xf numFmtId="0" fontId="10" fillId="8" borderId="13" xfId="1" applyFont="1" applyFill="1" applyBorder="1" applyAlignment="1" applyProtection="1">
      <alignment horizontal="center" wrapText="1"/>
    </xf>
    <xf numFmtId="0" fontId="27" fillId="0" borderId="0" xfId="1" applyFont="1" applyProtection="1"/>
    <xf numFmtId="0" fontId="10" fillId="3" borderId="14" xfId="1" applyFont="1" applyFill="1" applyBorder="1" applyAlignment="1" applyProtection="1">
      <alignment horizontal="center"/>
    </xf>
    <xf numFmtId="1" fontId="10" fillId="3" borderId="2" xfId="1" applyNumberFormat="1" applyFont="1" applyFill="1" applyBorder="1" applyAlignment="1" applyProtection="1">
      <alignment horizontal="center"/>
    </xf>
    <xf numFmtId="167" fontId="10" fillId="3" borderId="2" xfId="18" applyNumberFormat="1" applyFont="1" applyFill="1" applyBorder="1" applyAlignment="1" applyProtection="1">
      <alignment horizontal="center"/>
    </xf>
    <xf numFmtId="9" fontId="3" fillId="9" borderId="3" xfId="16" applyFont="1" applyFill="1" applyBorder="1" applyProtection="1"/>
    <xf numFmtId="0" fontId="24" fillId="3" borderId="5" xfId="1" applyFont="1" applyFill="1" applyBorder="1" applyAlignment="1" applyProtection="1">
      <alignment vertical="center" wrapText="1"/>
    </xf>
    <xf numFmtId="0" fontId="10" fillId="3" borderId="4" xfId="1" applyFont="1" applyFill="1" applyBorder="1" applyAlignment="1" applyProtection="1">
      <alignment horizontal="center"/>
    </xf>
    <xf numFmtId="1" fontId="10" fillId="3" borderId="0" xfId="1" applyNumberFormat="1" applyFont="1" applyFill="1" applyBorder="1" applyAlignment="1" applyProtection="1">
      <alignment horizontal="center"/>
    </xf>
    <xf numFmtId="167" fontId="10" fillId="3" borderId="0" xfId="18" applyNumberFormat="1" applyFont="1" applyFill="1" applyBorder="1" applyAlignment="1" applyProtection="1">
      <alignment horizontal="center"/>
    </xf>
    <xf numFmtId="9" fontId="3" fillId="9" borderId="5" xfId="16" applyFont="1" applyFill="1" applyBorder="1" applyProtection="1"/>
    <xf numFmtId="0" fontId="9" fillId="3" borderId="5" xfId="1" applyFont="1" applyFill="1" applyBorder="1" applyAlignment="1" applyProtection="1">
      <alignment horizontal="right" vertical="center" wrapText="1"/>
    </xf>
    <xf numFmtId="0" fontId="10" fillId="3" borderId="6" xfId="1" applyFont="1" applyFill="1" applyBorder="1" applyAlignment="1" applyProtection="1">
      <alignment horizontal="center"/>
    </xf>
    <xf numFmtId="176" fontId="10" fillId="3" borderId="7" xfId="1" applyNumberFormat="1" applyFont="1" applyFill="1" applyBorder="1" applyAlignment="1" applyProtection="1">
      <alignment horizontal="center"/>
    </xf>
    <xf numFmtId="167" fontId="10" fillId="3" borderId="7" xfId="18" applyNumberFormat="1" applyFont="1" applyFill="1" applyBorder="1" applyAlignment="1" applyProtection="1">
      <alignment horizontal="center"/>
    </xf>
    <xf numFmtId="9" fontId="3" fillId="9" borderId="8" xfId="16" applyFont="1" applyFill="1" applyBorder="1" applyProtection="1"/>
    <xf numFmtId="0" fontId="10" fillId="3" borderId="0" xfId="1" applyFont="1" applyFill="1" applyBorder="1" applyAlignment="1" applyProtection="1">
      <alignment horizontal="center"/>
    </xf>
    <xf numFmtId="176" fontId="10" fillId="3" borderId="0" xfId="1" applyNumberFormat="1" applyFont="1" applyFill="1" applyBorder="1" applyAlignment="1" applyProtection="1">
      <alignment horizontal="center"/>
    </xf>
    <xf numFmtId="0" fontId="10" fillId="3" borderId="12" xfId="1" applyFont="1" applyFill="1" applyBorder="1" applyAlignment="1" applyProtection="1">
      <alignment horizontal="center" wrapText="1"/>
    </xf>
    <xf numFmtId="0" fontId="10" fillId="3" borderId="15" xfId="1" applyFont="1" applyFill="1" applyBorder="1" applyAlignment="1" applyProtection="1">
      <alignment horizontal="center" wrapText="1"/>
    </xf>
    <xf numFmtId="0" fontId="10" fillId="3" borderId="13" xfId="1" applyFont="1" applyFill="1" applyBorder="1" applyAlignment="1" applyProtection="1">
      <alignment horizontal="center" wrapText="1"/>
    </xf>
    <xf numFmtId="9" fontId="3" fillId="9" borderId="12" xfId="1" applyNumberFormat="1" applyFont="1" applyFill="1" applyBorder="1" applyAlignment="1" applyProtection="1">
      <alignment horizontal="right" vertical="center"/>
    </xf>
    <xf numFmtId="0" fontId="3" fillId="9" borderId="1" xfId="1" applyFont="1" applyFill="1" applyBorder="1" applyAlignment="1" applyProtection="1">
      <alignment horizontal="left" vertical="center"/>
    </xf>
    <xf numFmtId="0" fontId="3" fillId="9" borderId="1" xfId="1" applyFont="1" applyFill="1" applyBorder="1" applyAlignment="1" applyProtection="1">
      <alignment vertical="center"/>
    </xf>
    <xf numFmtId="0" fontId="3" fillId="9" borderId="0" xfId="1" applyFont="1" applyFill="1" applyBorder="1" applyAlignment="1" applyProtection="1">
      <alignment vertical="center"/>
    </xf>
    <xf numFmtId="0" fontId="9" fillId="9" borderId="0" xfId="1" applyFont="1" applyFill="1" applyBorder="1" applyAlignment="1" applyProtection="1">
      <alignment vertical="center"/>
    </xf>
    <xf numFmtId="0" fontId="3" fillId="9" borderId="0" xfId="1" applyFont="1" applyFill="1" applyBorder="1" applyAlignment="1" applyProtection="1">
      <alignment horizontal="center" vertical="center"/>
    </xf>
    <xf numFmtId="0" fontId="3" fillId="2" borderId="0" xfId="1" applyFont="1" applyFill="1" applyBorder="1" applyAlignment="1" applyProtection="1">
      <alignment vertical="top"/>
    </xf>
    <xf numFmtId="0" fontId="3" fillId="2" borderId="0" xfId="1" applyFont="1" applyFill="1" applyBorder="1" applyAlignment="1" applyProtection="1">
      <alignment vertical="top" wrapText="1"/>
    </xf>
    <xf numFmtId="0" fontId="3" fillId="2" borderId="6" xfId="1" applyFont="1" applyFill="1" applyBorder="1" applyAlignment="1" applyProtection="1">
      <alignment vertical="top" wrapText="1"/>
    </xf>
    <xf numFmtId="0" fontId="3" fillId="2" borderId="7" xfId="1" applyFont="1" applyFill="1" applyBorder="1" applyAlignment="1" applyProtection="1">
      <alignment vertical="top" wrapText="1"/>
    </xf>
    <xf numFmtId="0" fontId="9" fillId="3" borderId="3" xfId="1" applyFont="1" applyFill="1" applyBorder="1" applyProtection="1"/>
    <xf numFmtId="0" fontId="28" fillId="0" borderId="0" xfId="1" applyFont="1" applyProtection="1">
      <protection locked="0"/>
    </xf>
    <xf numFmtId="0" fontId="29" fillId="0" borderId="1" xfId="2" applyFont="1" applyBorder="1" applyAlignment="1" applyProtection="1">
      <alignment horizontal="center"/>
    </xf>
    <xf numFmtId="0" fontId="29" fillId="0" borderId="1" xfId="3" applyFont="1" applyBorder="1" applyAlignment="1" applyProtection="1">
      <alignment horizontal="center"/>
    </xf>
    <xf numFmtId="0" fontId="28" fillId="2" borderId="2" xfId="1" applyFont="1" applyFill="1" applyBorder="1" applyProtection="1"/>
    <xf numFmtId="0" fontId="30" fillId="3" borderId="3" xfId="1" applyFont="1" applyFill="1" applyBorder="1" applyProtection="1"/>
    <xf numFmtId="0" fontId="28" fillId="0" borderId="0" xfId="1" applyFont="1" applyProtection="1"/>
    <xf numFmtId="0" fontId="31" fillId="3" borderId="4" xfId="1" applyFont="1" applyFill="1" applyBorder="1" applyAlignment="1" applyProtection="1">
      <alignment horizontal="center"/>
    </xf>
    <xf numFmtId="0" fontId="28" fillId="3" borderId="0" xfId="1" applyFont="1" applyFill="1" applyBorder="1" applyProtection="1"/>
    <xf numFmtId="0" fontId="30" fillId="3" borderId="5" xfId="1" applyFont="1" applyFill="1" applyBorder="1" applyProtection="1"/>
    <xf numFmtId="2" fontId="32" fillId="3" borderId="4" xfId="1" applyNumberFormat="1" applyFont="1" applyFill="1" applyBorder="1" applyAlignment="1" applyProtection="1">
      <alignment horizontal="center"/>
    </xf>
    <xf numFmtId="0" fontId="28" fillId="3" borderId="0" xfId="1" applyFont="1" applyFill="1" applyBorder="1" applyAlignment="1" applyProtection="1">
      <alignment horizontal="left"/>
    </xf>
    <xf numFmtId="0" fontId="30" fillId="3" borderId="0" xfId="1" applyFont="1" applyFill="1" applyBorder="1" applyProtection="1"/>
    <xf numFmtId="0" fontId="28" fillId="3" borderId="5" xfId="1" applyFont="1" applyFill="1" applyBorder="1" applyProtection="1"/>
    <xf numFmtId="0" fontId="28" fillId="3" borderId="0" xfId="1" applyFont="1" applyFill="1" applyBorder="1" applyAlignment="1" applyProtection="1">
      <alignment vertical="center"/>
    </xf>
    <xf numFmtId="2" fontId="32" fillId="3" borderId="6" xfId="1" applyNumberFormat="1" applyFont="1" applyFill="1" applyBorder="1" applyAlignment="1" applyProtection="1">
      <alignment horizontal="center"/>
    </xf>
    <xf numFmtId="0" fontId="28" fillId="3" borderId="7" xfId="1" applyFont="1" applyFill="1" applyBorder="1" applyAlignment="1" applyProtection="1">
      <alignment vertical="center"/>
    </xf>
    <xf numFmtId="0" fontId="28" fillId="3" borderId="7" xfId="1" applyFont="1" applyFill="1" applyBorder="1" applyProtection="1"/>
    <xf numFmtId="0" fontId="28" fillId="3" borderId="7" xfId="1" applyFont="1" applyFill="1" applyBorder="1" applyAlignment="1" applyProtection="1"/>
    <xf numFmtId="0" fontId="28" fillId="3" borderId="8" xfId="1" applyFont="1" applyFill="1" applyBorder="1" applyAlignment="1" applyProtection="1"/>
    <xf numFmtId="0" fontId="10" fillId="3" borderId="0" xfId="1" applyFont="1" applyFill="1" applyBorder="1" applyProtection="1"/>
    <xf numFmtId="0" fontId="10" fillId="3" borderId="5" xfId="1" applyFont="1" applyFill="1" applyBorder="1" applyProtection="1"/>
    <xf numFmtId="0" fontId="10" fillId="3" borderId="0" xfId="1" applyFont="1" applyFill="1" applyBorder="1" applyAlignment="1" applyProtection="1">
      <alignment horizontal="left" vertical="center"/>
    </xf>
    <xf numFmtId="0" fontId="10" fillId="3" borderId="5" xfId="1" applyFont="1" applyFill="1" applyBorder="1" applyAlignment="1" applyProtection="1">
      <alignment horizontal="left" vertical="center"/>
    </xf>
    <xf numFmtId="0" fontId="10" fillId="3" borderId="14" xfId="1" applyFont="1" applyFill="1" applyBorder="1" applyAlignment="1" applyProtection="1">
      <alignment horizontal="center" vertical="center"/>
    </xf>
    <xf numFmtId="0" fontId="10" fillId="3" borderId="3" xfId="1" quotePrefix="1" applyFont="1" applyFill="1" applyBorder="1" applyAlignment="1" applyProtection="1">
      <alignment horizontal="center" vertical="center"/>
    </xf>
    <xf numFmtId="0" fontId="10" fillId="3" borderId="4" xfId="1" applyFont="1" applyFill="1" applyBorder="1" applyAlignment="1" applyProtection="1">
      <alignment horizontal="center" vertical="center"/>
    </xf>
    <xf numFmtId="0" fontId="10" fillId="3" borderId="5" xfId="1" applyFont="1" applyFill="1" applyBorder="1" applyAlignment="1" applyProtection="1">
      <alignment horizontal="center" vertical="center"/>
    </xf>
    <xf numFmtId="0" fontId="10" fillId="3" borderId="6" xfId="1" applyFont="1" applyFill="1" applyBorder="1" applyAlignment="1" applyProtection="1">
      <alignment horizontal="center" vertical="center"/>
    </xf>
    <xf numFmtId="0" fontId="10" fillId="3" borderId="8" xfId="1" applyFont="1" applyFill="1" applyBorder="1" applyAlignment="1" applyProtection="1">
      <alignment horizontal="center" vertical="center"/>
    </xf>
    <xf numFmtId="0" fontId="10" fillId="3" borderId="4" xfId="1" applyFont="1" applyFill="1" applyBorder="1" applyAlignment="1" applyProtection="1">
      <alignment horizontal="center" vertical="center" wrapText="1"/>
    </xf>
    <xf numFmtId="3" fontId="10" fillId="3" borderId="5" xfId="1" applyNumberFormat="1" applyFont="1" applyFill="1" applyBorder="1" applyAlignment="1" applyProtection="1">
      <alignment horizontal="right" vertical="center" wrapText="1"/>
    </xf>
    <xf numFmtId="3" fontId="10" fillId="3" borderId="4" xfId="1" applyNumberFormat="1" applyFont="1" applyFill="1" applyBorder="1" applyAlignment="1" applyProtection="1">
      <alignment horizontal="right" vertical="center" wrapText="1"/>
    </xf>
    <xf numFmtId="1" fontId="10" fillId="3" borderId="5" xfId="1" applyNumberFormat="1" applyFont="1" applyFill="1" applyBorder="1" applyAlignment="1" applyProtection="1">
      <alignment horizontal="right" vertical="center" wrapText="1"/>
    </xf>
    <xf numFmtId="0" fontId="10" fillId="3" borderId="6" xfId="1" applyFont="1" applyFill="1" applyBorder="1" applyAlignment="1" applyProtection="1">
      <alignment horizontal="center" vertical="center" wrapText="1"/>
    </xf>
    <xf numFmtId="3" fontId="10" fillId="3" borderId="8" xfId="1" applyNumberFormat="1" applyFont="1" applyFill="1" applyBorder="1" applyAlignment="1" applyProtection="1">
      <alignment horizontal="right" vertical="center" wrapText="1"/>
    </xf>
    <xf numFmtId="3" fontId="10" fillId="3" borderId="6" xfId="1" applyNumberFormat="1" applyFont="1" applyFill="1" applyBorder="1" applyAlignment="1" applyProtection="1">
      <alignment horizontal="right" vertical="center" wrapText="1"/>
    </xf>
    <xf numFmtId="0" fontId="10" fillId="3" borderId="8" xfId="1" applyFont="1" applyFill="1" applyBorder="1" applyAlignment="1" applyProtection="1">
      <alignment horizontal="right" vertical="center" wrapText="1"/>
    </xf>
    <xf numFmtId="1" fontId="10" fillId="3" borderId="8" xfId="1" applyNumberFormat="1" applyFont="1" applyFill="1" applyBorder="1" applyAlignment="1" applyProtection="1">
      <alignment horizontal="right" vertical="center" wrapText="1"/>
    </xf>
    <xf numFmtId="0" fontId="10" fillId="3" borderId="0" xfId="1" applyFont="1" applyFill="1" applyBorder="1" applyAlignment="1" applyProtection="1">
      <alignment horizontal="center" vertical="center" wrapText="1"/>
    </xf>
    <xf numFmtId="0" fontId="3" fillId="3" borderId="4" xfId="1" applyFont="1" applyFill="1" applyBorder="1" applyAlignment="1" applyProtection="1">
      <alignment horizontal="left"/>
    </xf>
    <xf numFmtId="9" fontId="10" fillId="3" borderId="0" xfId="1" applyNumberFormat="1" applyFont="1" applyFill="1" applyBorder="1" applyProtection="1"/>
    <xf numFmtId="0" fontId="10" fillId="4" borderId="0" xfId="1" applyFont="1" applyFill="1" applyProtection="1"/>
    <xf numFmtId="0" fontId="10" fillId="0" borderId="17" xfId="1" applyFont="1" applyBorder="1" applyProtection="1"/>
    <xf numFmtId="177" fontId="10" fillId="0" borderId="0" xfId="19" applyNumberFormat="1" applyFont="1" applyProtection="1"/>
    <xf numFmtId="177" fontId="7" fillId="0" borderId="0" xfId="1" applyNumberFormat="1" applyFont="1" applyProtection="1"/>
    <xf numFmtId="0" fontId="10" fillId="3" borderId="0" xfId="1" applyFont="1" applyFill="1" applyBorder="1" applyAlignment="1" applyProtection="1">
      <alignment horizontal="center" vertical="center"/>
    </xf>
    <xf numFmtId="0" fontId="10" fillId="3" borderId="2" xfId="1" applyFont="1" applyFill="1" applyBorder="1" applyAlignment="1" applyProtection="1">
      <alignment horizontal="center" vertical="center"/>
    </xf>
    <xf numFmtId="0" fontId="10" fillId="3" borderId="7" xfId="1" applyFont="1" applyFill="1" applyBorder="1" applyAlignment="1" applyProtection="1">
      <alignment horizontal="center" vertical="center"/>
    </xf>
    <xf numFmtId="3" fontId="10" fillId="3" borderId="0" xfId="1" applyNumberFormat="1" applyFont="1" applyFill="1" applyBorder="1" applyAlignment="1" applyProtection="1">
      <alignment horizontal="right" vertical="center" wrapText="1"/>
    </xf>
    <xf numFmtId="178" fontId="10" fillId="3" borderId="0" xfId="1" applyNumberFormat="1" applyFont="1" applyFill="1" applyBorder="1" applyAlignment="1" applyProtection="1">
      <alignment horizontal="right" vertical="center" wrapText="1"/>
    </xf>
    <xf numFmtId="2" fontId="10" fillId="3" borderId="0" xfId="1" applyNumberFormat="1" applyFont="1" applyFill="1" applyBorder="1" applyAlignment="1" applyProtection="1">
      <alignment horizontal="center" vertical="center" wrapText="1"/>
    </xf>
    <xf numFmtId="2" fontId="10" fillId="3" borderId="5" xfId="1" applyNumberFormat="1" applyFont="1" applyFill="1" applyBorder="1" applyAlignment="1" applyProtection="1">
      <alignment horizontal="center" vertical="center" wrapText="1"/>
    </xf>
    <xf numFmtId="3" fontId="10" fillId="3" borderId="7" xfId="1" applyNumberFormat="1" applyFont="1" applyFill="1" applyBorder="1" applyAlignment="1" applyProtection="1">
      <alignment horizontal="right" vertical="center" wrapText="1"/>
    </xf>
    <xf numFmtId="178" fontId="10" fillId="3" borderId="7" xfId="1" applyNumberFormat="1" applyFont="1" applyFill="1" applyBorder="1" applyAlignment="1" applyProtection="1">
      <alignment horizontal="right" vertical="center" wrapText="1"/>
    </xf>
    <xf numFmtId="0" fontId="10" fillId="3" borderId="7" xfId="1" applyFont="1" applyFill="1" applyBorder="1" applyAlignment="1" applyProtection="1">
      <alignment horizontal="center" vertical="center" wrapText="1"/>
    </xf>
    <xf numFmtId="2" fontId="10" fillId="3" borderId="7" xfId="1" applyNumberFormat="1" applyFont="1" applyFill="1" applyBorder="1" applyAlignment="1" applyProtection="1">
      <alignment horizontal="center" vertical="center" wrapText="1"/>
    </xf>
    <xf numFmtId="2" fontId="10" fillId="3" borderId="8" xfId="1" applyNumberFormat="1" applyFont="1" applyFill="1" applyBorder="1" applyAlignment="1" applyProtection="1">
      <alignment horizontal="center" vertical="center" wrapText="1"/>
    </xf>
    <xf numFmtId="3" fontId="10" fillId="3" borderId="1" xfId="1" applyNumberFormat="1" applyFont="1" applyFill="1" applyBorder="1" applyProtection="1"/>
    <xf numFmtId="2" fontId="10" fillId="3" borderId="12" xfId="1" applyNumberFormat="1" applyFont="1" applyFill="1" applyBorder="1" applyAlignment="1" applyProtection="1">
      <alignment horizontal="left" vertical="center"/>
    </xf>
    <xf numFmtId="2" fontId="10" fillId="3" borderId="15" xfId="1" applyNumberFormat="1" applyFont="1" applyFill="1" applyBorder="1" applyAlignment="1" applyProtection="1">
      <alignment horizontal="center" vertical="center"/>
    </xf>
    <xf numFmtId="0" fontId="10" fillId="3" borderId="15" xfId="1" applyFont="1" applyFill="1" applyBorder="1" applyAlignment="1" applyProtection="1">
      <alignment horizontal="center" vertical="center" wrapText="1"/>
    </xf>
    <xf numFmtId="0" fontId="10" fillId="3" borderId="15" xfId="1" applyFont="1" applyFill="1" applyBorder="1" applyProtection="1"/>
    <xf numFmtId="0" fontId="10" fillId="3" borderId="13" xfId="1" applyFont="1" applyFill="1" applyBorder="1" applyAlignment="1" applyProtection="1">
      <alignment horizontal="left" vertical="center"/>
    </xf>
    <xf numFmtId="2" fontId="10" fillId="3" borderId="0" xfId="1" applyNumberFormat="1" applyFont="1" applyFill="1" applyBorder="1" applyAlignment="1" applyProtection="1">
      <alignment horizontal="center" vertical="center"/>
    </xf>
    <xf numFmtId="0" fontId="10" fillId="3" borderId="0" xfId="1" applyFont="1" applyFill="1" applyBorder="1" applyAlignment="1" applyProtection="1">
      <alignment vertical="center"/>
    </xf>
    <xf numFmtId="2" fontId="10" fillId="3" borderId="4" xfId="1" applyNumberFormat="1" applyFont="1" applyFill="1" applyBorder="1" applyAlignment="1" applyProtection="1">
      <alignment horizontal="center"/>
    </xf>
    <xf numFmtId="2" fontId="10" fillId="3" borderId="6" xfId="1" applyNumberFormat="1" applyFont="1" applyFill="1" applyBorder="1" applyAlignment="1" applyProtection="1">
      <alignment horizontal="center"/>
    </xf>
    <xf numFmtId="0" fontId="10" fillId="3" borderId="7" xfId="1" applyFont="1" applyFill="1" applyBorder="1" applyAlignment="1" applyProtection="1">
      <alignment vertical="center"/>
    </xf>
    <xf numFmtId="0" fontId="10" fillId="3" borderId="7" xfId="1" applyFont="1" applyFill="1" applyBorder="1" applyProtection="1"/>
    <xf numFmtId="0" fontId="10" fillId="3" borderId="8" xfId="1" applyFont="1" applyFill="1" applyBorder="1" applyProtection="1"/>
    <xf numFmtId="0" fontId="10" fillId="0" borderId="17" xfId="1" applyFont="1" applyBorder="1" applyAlignment="1" applyProtection="1">
      <alignment horizontal="right" wrapText="1"/>
    </xf>
    <xf numFmtId="0" fontId="10" fillId="4" borderId="17" xfId="1" applyFont="1" applyFill="1" applyBorder="1" applyAlignment="1" applyProtection="1">
      <alignment horizontal="right" wrapText="1"/>
    </xf>
    <xf numFmtId="3" fontId="10" fillId="0" borderId="0" xfId="1" applyNumberFormat="1" applyFont="1" applyAlignment="1" applyProtection="1">
      <alignment horizontal="right"/>
    </xf>
    <xf numFmtId="172" fontId="10" fillId="0" borderId="0" xfId="1" applyNumberFormat="1" applyFont="1" applyAlignment="1" applyProtection="1">
      <alignment horizontal="right"/>
    </xf>
    <xf numFmtId="4" fontId="10" fillId="0" borderId="0" xfId="1" applyNumberFormat="1" applyFont="1" applyAlignment="1" applyProtection="1">
      <alignment horizontal="right"/>
    </xf>
    <xf numFmtId="164" fontId="10" fillId="0" borderId="0" xfId="6" applyNumberFormat="1" applyFont="1" applyAlignment="1" applyProtection="1">
      <alignment horizontal="right"/>
    </xf>
    <xf numFmtId="164" fontId="10" fillId="4" borderId="0" xfId="6" applyNumberFormat="1" applyFont="1" applyFill="1" applyAlignment="1" applyProtection="1">
      <alignment horizontal="right"/>
    </xf>
    <xf numFmtId="0" fontId="10" fillId="0" borderId="17" xfId="1" applyFont="1" applyBorder="1" applyAlignment="1" applyProtection="1">
      <alignment horizontal="right"/>
    </xf>
    <xf numFmtId="3" fontId="10" fillId="0" borderId="17" xfId="1" applyNumberFormat="1" applyFont="1" applyBorder="1" applyAlignment="1" applyProtection="1">
      <alignment horizontal="right"/>
    </xf>
    <xf numFmtId="172" fontId="10" fillId="0" borderId="17" xfId="1" applyNumberFormat="1" applyFont="1" applyBorder="1" applyAlignment="1" applyProtection="1">
      <alignment horizontal="right"/>
    </xf>
    <xf numFmtId="4" fontId="10" fillId="0" borderId="17" xfId="1" applyNumberFormat="1" applyFont="1" applyBorder="1" applyAlignment="1" applyProtection="1">
      <alignment horizontal="right"/>
    </xf>
    <xf numFmtId="164" fontId="10" fillId="0" borderId="17" xfId="6" applyNumberFormat="1" applyFont="1" applyBorder="1" applyAlignment="1" applyProtection="1">
      <alignment horizontal="right"/>
    </xf>
    <xf numFmtId="166" fontId="10" fillId="0" borderId="0" xfId="1" applyNumberFormat="1" applyFont="1" applyProtection="1"/>
    <xf numFmtId="0" fontId="10" fillId="3" borderId="4" xfId="1" applyFont="1" applyFill="1" applyBorder="1" applyProtection="1"/>
    <xf numFmtId="0" fontId="3" fillId="3" borderId="12" xfId="1" applyFont="1" applyFill="1" applyBorder="1" applyAlignment="1" applyProtection="1">
      <alignment horizontal="center"/>
    </xf>
    <xf numFmtId="0" fontId="3" fillId="3" borderId="15" xfId="1" applyFont="1" applyFill="1" applyBorder="1" applyAlignment="1" applyProtection="1">
      <alignment horizontal="center"/>
    </xf>
    <xf numFmtId="0" fontId="3" fillId="3" borderId="13" xfId="1" applyFont="1" applyFill="1" applyBorder="1" applyAlignment="1" applyProtection="1">
      <alignment horizontal="center"/>
    </xf>
    <xf numFmtId="0" fontId="3" fillId="3" borderId="14" xfId="1" applyFont="1" applyFill="1" applyBorder="1" applyAlignment="1" applyProtection="1">
      <alignment horizontal="center"/>
    </xf>
    <xf numFmtId="169" fontId="3" fillId="3" borderId="2" xfId="1" applyNumberFormat="1" applyFont="1" applyFill="1" applyBorder="1" applyAlignment="1" applyProtection="1">
      <alignment horizontal="center"/>
    </xf>
    <xf numFmtId="169" fontId="3" fillId="3" borderId="3" xfId="1" applyNumberFormat="1" applyFont="1" applyFill="1" applyBorder="1" applyAlignment="1" applyProtection="1">
      <alignment horizontal="center"/>
    </xf>
    <xf numFmtId="0" fontId="3" fillId="3" borderId="4" xfId="1" applyFont="1" applyFill="1" applyBorder="1" applyAlignment="1" applyProtection="1">
      <alignment horizontal="center"/>
    </xf>
    <xf numFmtId="169" fontId="3" fillId="3" borderId="0" xfId="1" applyNumberFormat="1" applyFont="1" applyFill="1" applyBorder="1" applyAlignment="1" applyProtection="1">
      <alignment horizontal="center"/>
    </xf>
    <xf numFmtId="169" fontId="3" fillId="3" borderId="5" xfId="1" applyNumberFormat="1" applyFont="1" applyFill="1" applyBorder="1" applyAlignment="1" applyProtection="1">
      <alignment horizontal="center"/>
    </xf>
    <xf numFmtId="0" fontId="3" fillId="3" borderId="6" xfId="1" applyFont="1" applyFill="1" applyBorder="1" applyAlignment="1" applyProtection="1">
      <alignment horizontal="center"/>
    </xf>
    <xf numFmtId="169" fontId="3" fillId="3" borderId="7" xfId="1" applyNumberFormat="1" applyFont="1" applyFill="1" applyBorder="1" applyAlignment="1" applyProtection="1">
      <alignment horizontal="center"/>
    </xf>
    <xf numFmtId="169" fontId="3" fillId="3" borderId="8" xfId="1" applyNumberFormat="1" applyFont="1" applyFill="1" applyBorder="1" applyAlignment="1" applyProtection="1">
      <alignment horizontal="center"/>
    </xf>
    <xf numFmtId="2" fontId="7" fillId="3" borderId="4" xfId="1" applyNumberFormat="1" applyFont="1" applyFill="1" applyBorder="1" applyAlignment="1" applyProtection="1">
      <alignment horizontal="left"/>
    </xf>
    <xf numFmtId="0" fontId="3" fillId="0" borderId="0" xfId="1" quotePrefix="1" applyFont="1" applyProtection="1"/>
    <xf numFmtId="167" fontId="3" fillId="0" borderId="0" xfId="7" applyNumberFormat="1" applyFont="1" applyProtection="1"/>
    <xf numFmtId="43" fontId="3" fillId="0" borderId="9" xfId="7" applyFont="1" applyBorder="1" applyProtection="1"/>
    <xf numFmtId="43" fontId="3" fillId="0" borderId="10" xfId="7" applyFont="1" applyBorder="1" applyProtection="1"/>
    <xf numFmtId="6" fontId="3" fillId="3" borderId="9" xfId="1" applyNumberFormat="1" applyFont="1" applyFill="1" applyBorder="1" applyProtection="1"/>
    <xf numFmtId="0" fontId="3" fillId="3" borderId="14" xfId="1" applyFont="1" applyFill="1" applyBorder="1" applyProtection="1"/>
    <xf numFmtId="0" fontId="3" fillId="3" borderId="3" xfId="1" applyFont="1" applyFill="1" applyBorder="1" applyProtection="1"/>
    <xf numFmtId="43" fontId="3" fillId="0" borderId="11" xfId="7" applyFont="1" applyBorder="1" applyProtection="1"/>
    <xf numFmtId="6" fontId="3" fillId="3" borderId="10" xfId="1" applyNumberFormat="1" applyFont="1" applyFill="1" applyBorder="1" applyProtection="1"/>
    <xf numFmtId="0" fontId="3" fillId="3" borderId="4" xfId="1" applyFont="1" applyFill="1" applyBorder="1" applyProtection="1"/>
    <xf numFmtId="9" fontId="3" fillId="3" borderId="11" xfId="1" applyNumberFormat="1" applyFont="1" applyFill="1" applyBorder="1" applyProtection="1"/>
    <xf numFmtId="0" fontId="3" fillId="3" borderId="6" xfId="1" applyFont="1" applyFill="1" applyBorder="1" applyProtection="1"/>
    <xf numFmtId="9" fontId="3" fillId="3" borderId="0" xfId="1" applyNumberFormat="1" applyFont="1" applyFill="1" applyBorder="1" applyProtection="1"/>
    <xf numFmtId="0" fontId="3" fillId="3" borderId="0" xfId="1" applyFont="1" applyFill="1" applyBorder="1" applyAlignment="1" applyProtection="1">
      <alignment horizontal="right" vertical="center"/>
    </xf>
    <xf numFmtId="179" fontId="3" fillId="3" borderId="0" xfId="1" applyNumberFormat="1" applyFont="1" applyFill="1" applyBorder="1" applyAlignment="1" applyProtection="1">
      <alignment horizontal="left"/>
    </xf>
    <xf numFmtId="0" fontId="3" fillId="2" borderId="0" xfId="1" applyFont="1" applyFill="1" applyAlignment="1" applyProtection="1"/>
    <xf numFmtId="9" fontId="3" fillId="0" borderId="0" xfId="1" applyNumberFormat="1" applyFont="1" applyProtection="1"/>
    <xf numFmtId="167" fontId="3" fillId="0" borderId="0" xfId="1" applyNumberFormat="1" applyFont="1" applyProtection="1"/>
    <xf numFmtId="175" fontId="3" fillId="0" borderId="0" xfId="1" applyNumberFormat="1" applyFont="1" applyProtection="1"/>
    <xf numFmtId="179" fontId="3" fillId="0" borderId="0" xfId="1" applyNumberFormat="1" applyFont="1" applyProtection="1"/>
    <xf numFmtId="170" fontId="3" fillId="0" borderId="0" xfId="1" applyNumberFormat="1" applyFont="1" applyProtection="1"/>
    <xf numFmtId="43" fontId="3" fillId="0" borderId="0" xfId="1" applyNumberFormat="1" applyFont="1" applyProtection="1"/>
    <xf numFmtId="20" fontId="3" fillId="0" borderId="0" xfId="1" applyNumberFormat="1" applyFont="1" applyProtection="1"/>
    <xf numFmtId="0" fontId="3" fillId="10" borderId="0" xfId="1" applyFont="1" applyFill="1" applyProtection="1"/>
    <xf numFmtId="170" fontId="3" fillId="10" borderId="0" xfId="1" applyNumberFormat="1" applyFont="1" applyFill="1" applyProtection="1"/>
    <xf numFmtId="6" fontId="3" fillId="10" borderId="0" xfId="1" applyNumberFormat="1" applyFont="1" applyFill="1" applyProtection="1"/>
    <xf numFmtId="0" fontId="3" fillId="10" borderId="0" xfId="1" applyFont="1" applyFill="1" applyAlignment="1" applyProtection="1"/>
    <xf numFmtId="167" fontId="10" fillId="0" borderId="0" xfId="7" applyNumberFormat="1" applyFont="1" applyProtection="1">
      <protection locked="0"/>
    </xf>
    <xf numFmtId="167" fontId="10" fillId="0" borderId="0" xfId="7" applyNumberFormat="1" applyFont="1" applyProtection="1"/>
    <xf numFmtId="3" fontId="4" fillId="2" borderId="0" xfId="1" applyNumberFormat="1" applyFont="1" applyFill="1" applyBorder="1" applyProtection="1"/>
    <xf numFmtId="0" fontId="10" fillId="2" borderId="12" xfId="1" applyFont="1" applyFill="1" applyBorder="1" applyAlignment="1" applyProtection="1">
      <alignment horizontal="center" vertical="center"/>
    </xf>
    <xf numFmtId="0" fontId="10" fillId="2" borderId="15" xfId="1" applyFont="1" applyFill="1" applyBorder="1" applyAlignment="1" applyProtection="1">
      <alignment horizontal="right" vertical="center" wrapText="1"/>
    </xf>
    <xf numFmtId="0" fontId="10" fillId="2" borderId="13" xfId="1" applyFont="1" applyFill="1" applyBorder="1" applyAlignment="1" applyProtection="1">
      <alignment horizontal="right" vertical="center" wrapText="1"/>
    </xf>
    <xf numFmtId="0" fontId="10" fillId="2" borderId="14" xfId="1" quotePrefix="1" applyFont="1" applyFill="1" applyBorder="1" applyAlignment="1" applyProtection="1">
      <alignment horizontal="center" vertical="center"/>
    </xf>
    <xf numFmtId="3" fontId="10" fillId="2" borderId="2" xfId="1" applyNumberFormat="1" applyFont="1" applyFill="1" applyBorder="1" applyAlignment="1" applyProtection="1">
      <alignment horizontal="right" vertical="center"/>
    </xf>
    <xf numFmtId="3" fontId="10" fillId="2" borderId="3" xfId="1" applyNumberFormat="1" applyFont="1" applyFill="1" applyBorder="1" applyAlignment="1" applyProtection="1">
      <alignment horizontal="right" vertical="center"/>
    </xf>
    <xf numFmtId="0" fontId="10" fillId="2" borderId="4" xfId="1" quotePrefix="1" applyFont="1" applyFill="1" applyBorder="1" applyAlignment="1" applyProtection="1">
      <alignment horizontal="center" vertical="center"/>
    </xf>
    <xf numFmtId="3" fontId="10" fillId="2" borderId="0" xfId="1" applyNumberFormat="1" applyFont="1" applyFill="1" applyBorder="1" applyAlignment="1" applyProtection="1">
      <alignment horizontal="right" vertical="center"/>
    </xf>
    <xf numFmtId="3" fontId="10" fillId="2" borderId="5" xfId="1" applyNumberFormat="1" applyFont="1" applyFill="1" applyBorder="1" applyAlignment="1" applyProtection="1">
      <alignment horizontal="right" vertical="center"/>
    </xf>
    <xf numFmtId="0" fontId="10" fillId="2" borderId="6" xfId="1" applyFont="1" applyFill="1" applyBorder="1" applyAlignment="1" applyProtection="1">
      <alignment horizontal="center" vertical="center"/>
    </xf>
    <xf numFmtId="3" fontId="10" fillId="2" borderId="7" xfId="1" applyNumberFormat="1" applyFont="1" applyFill="1" applyBorder="1" applyAlignment="1" applyProtection="1">
      <alignment horizontal="right" vertical="center"/>
    </xf>
    <xf numFmtId="3" fontId="10" fillId="2" borderId="8" xfId="1" applyNumberFormat="1" applyFont="1" applyFill="1" applyBorder="1" applyAlignment="1" applyProtection="1">
      <alignment horizontal="right" vertical="center"/>
    </xf>
    <xf numFmtId="0" fontId="10" fillId="2" borderId="0" xfId="1" applyFont="1" applyFill="1" applyBorder="1" applyAlignment="1" applyProtection="1">
      <alignment horizontal="center" vertical="center"/>
    </xf>
    <xf numFmtId="3" fontId="10" fillId="2" borderId="0" xfId="1" applyNumberFormat="1" applyFont="1" applyFill="1" applyBorder="1" applyAlignment="1" applyProtection="1">
      <alignment horizontal="center" vertical="center"/>
    </xf>
    <xf numFmtId="180" fontId="10" fillId="2" borderId="9" xfId="20" applyFont="1" applyFill="1" applyBorder="1" applyAlignment="1" applyProtection="1">
      <alignment horizontal="center" vertical="center"/>
    </xf>
    <xf numFmtId="0" fontId="10" fillId="2" borderId="2" xfId="1" applyFont="1" applyFill="1" applyBorder="1" applyAlignment="1" applyProtection="1">
      <alignment horizontal="left" vertical="center"/>
    </xf>
    <xf numFmtId="0" fontId="8" fillId="2" borderId="2" xfId="1" applyFont="1" applyFill="1" applyBorder="1" applyProtection="1"/>
    <xf numFmtId="0" fontId="10" fillId="3" borderId="3" xfId="1" applyFont="1" applyFill="1" applyBorder="1" applyProtection="1"/>
    <xf numFmtId="180" fontId="10" fillId="2" borderId="10" xfId="20" applyFont="1" applyFill="1" applyBorder="1" applyAlignment="1" applyProtection="1">
      <alignment horizontal="center" vertical="center"/>
    </xf>
    <xf numFmtId="0" fontId="10" fillId="2" borderId="0" xfId="1" applyFont="1" applyFill="1" applyBorder="1" applyAlignment="1" applyProtection="1">
      <alignment horizontal="left" vertical="center"/>
    </xf>
    <xf numFmtId="0" fontId="8" fillId="2" borderId="0" xfId="1" applyFont="1" applyFill="1" applyBorder="1" applyProtection="1"/>
    <xf numFmtId="181" fontId="10" fillId="2" borderId="10" xfId="20" applyNumberFormat="1" applyFont="1" applyFill="1" applyBorder="1" applyAlignment="1" applyProtection="1">
      <alignment horizontal="left" vertical="center" indent="2"/>
    </xf>
    <xf numFmtId="180" fontId="10" fillId="2" borderId="10" xfId="20" applyFont="1" applyFill="1" applyBorder="1" applyAlignment="1" applyProtection="1">
      <alignment horizontal="center" vertical="center" wrapText="1"/>
    </xf>
    <xf numFmtId="0" fontId="10" fillId="2" borderId="0" xfId="1" applyFont="1" applyFill="1" applyBorder="1" applyAlignment="1" applyProtection="1">
      <alignment vertical="center"/>
    </xf>
    <xf numFmtId="0" fontId="10" fillId="2" borderId="0" xfId="1" quotePrefix="1" applyFont="1" applyFill="1" applyBorder="1" applyAlignment="1" applyProtection="1">
      <alignment vertical="center"/>
    </xf>
    <xf numFmtId="167" fontId="10" fillId="2" borderId="10" xfId="20" applyNumberFormat="1" applyFont="1" applyFill="1" applyBorder="1" applyAlignment="1" applyProtection="1">
      <alignment horizontal="center" vertical="center"/>
    </xf>
    <xf numFmtId="0" fontId="10" fillId="2" borderId="0" xfId="1" quotePrefix="1" applyFont="1" applyFill="1" applyBorder="1" applyAlignment="1" applyProtection="1">
      <alignment horizontal="left" vertical="center"/>
    </xf>
    <xf numFmtId="167" fontId="10" fillId="4" borderId="0" xfId="1" applyNumberFormat="1" applyFont="1" applyFill="1" applyProtection="1"/>
    <xf numFmtId="181" fontId="3" fillId="2" borderId="11" xfId="20" applyNumberFormat="1" applyFont="1" applyFill="1" applyBorder="1" applyProtection="1"/>
    <xf numFmtId="0" fontId="10" fillId="2" borderId="7" xfId="1" quotePrefix="1" applyFont="1" applyFill="1" applyBorder="1" applyAlignment="1" applyProtection="1">
      <alignment horizontal="left" vertical="center"/>
    </xf>
    <xf numFmtId="0" fontId="8" fillId="2" borderId="0" xfId="1" applyFont="1" applyFill="1" applyProtection="1"/>
    <xf numFmtId="43" fontId="10" fillId="0" borderId="0" xfId="7" applyFont="1" applyProtection="1"/>
    <xf numFmtId="182" fontId="10" fillId="0" borderId="0" xfId="1" applyNumberFormat="1" applyFont="1" applyProtection="1"/>
    <xf numFmtId="181" fontId="10" fillId="0" borderId="0" xfId="1" applyNumberFormat="1" applyFont="1" applyProtection="1"/>
    <xf numFmtId="180" fontId="10" fillId="0" borderId="0" xfId="1" applyNumberFormat="1" applyFont="1" applyProtection="1"/>
    <xf numFmtId="167" fontId="10" fillId="0" borderId="0" xfId="1" applyNumberFormat="1" applyFont="1" applyAlignment="1" applyProtection="1">
      <alignment horizontal="right"/>
    </xf>
    <xf numFmtId="0" fontId="10" fillId="3" borderId="1" xfId="1" applyFont="1" applyFill="1" applyBorder="1" applyAlignment="1" applyProtection="1">
      <alignment horizontal="center" wrapText="1"/>
    </xf>
    <xf numFmtId="0" fontId="10" fillId="3" borderId="1" xfId="1" applyFont="1" applyFill="1" applyBorder="1" applyAlignment="1" applyProtection="1">
      <alignment horizontal="left" wrapText="1"/>
    </xf>
    <xf numFmtId="0" fontId="10" fillId="3" borderId="1" xfId="1" applyFont="1" applyFill="1" applyBorder="1" applyAlignment="1" applyProtection="1">
      <alignment horizontal="right" wrapText="1"/>
    </xf>
    <xf numFmtId="183" fontId="10" fillId="3" borderId="1" xfId="1" applyNumberFormat="1" applyFont="1" applyFill="1" applyBorder="1" applyAlignment="1" applyProtection="1">
      <alignment horizontal="left"/>
    </xf>
    <xf numFmtId="1" fontId="10" fillId="3" borderId="1" xfId="1" applyNumberFormat="1" applyFont="1" applyFill="1" applyBorder="1" applyAlignment="1" applyProtection="1">
      <alignment horizontal="right"/>
    </xf>
    <xf numFmtId="1" fontId="10" fillId="3" borderId="0" xfId="1" applyNumberFormat="1" applyFont="1" applyFill="1" applyBorder="1" applyAlignment="1" applyProtection="1">
      <alignment horizontal="right"/>
    </xf>
    <xf numFmtId="14" fontId="10" fillId="3" borderId="0" xfId="1" applyNumberFormat="1" applyFont="1" applyFill="1" applyBorder="1" applyAlignment="1" applyProtection="1">
      <alignment horizontal="center"/>
    </xf>
    <xf numFmtId="0" fontId="3" fillId="3" borderId="0" xfId="1" applyFont="1" applyFill="1" applyBorder="1" applyAlignment="1" applyProtection="1">
      <alignment horizontal="centerContinuous"/>
    </xf>
    <xf numFmtId="0" fontId="27" fillId="3" borderId="0" xfId="1" applyFont="1" applyFill="1" applyBorder="1" applyAlignment="1" applyProtection="1">
      <alignment horizontal="center"/>
    </xf>
    <xf numFmtId="0" fontId="3" fillId="3" borderId="0" xfId="1" applyFont="1" applyFill="1" applyBorder="1" applyAlignment="1" applyProtection="1">
      <alignment horizontal="left" vertical="center" indent="2"/>
    </xf>
    <xf numFmtId="3" fontId="25" fillId="3" borderId="0" xfId="1" applyNumberFormat="1" applyFont="1" applyFill="1" applyBorder="1" applyAlignment="1" applyProtection="1">
      <alignment horizontal="center"/>
    </xf>
    <xf numFmtId="3" fontId="3" fillId="3" borderId="0" xfId="1" applyNumberFormat="1" applyFont="1" applyFill="1" applyBorder="1" applyAlignment="1" applyProtection="1">
      <alignment horizontal="center"/>
    </xf>
    <xf numFmtId="1" fontId="3" fillId="0" borderId="0" xfId="1" applyNumberFormat="1" applyFont="1" applyProtection="1"/>
    <xf numFmtId="164" fontId="3" fillId="4" borderId="0" xfId="6" applyNumberFormat="1" applyFont="1" applyFill="1" applyProtection="1"/>
    <xf numFmtId="184" fontId="3" fillId="0" borderId="0" xfId="1" applyNumberFormat="1" applyFont="1" applyProtection="1"/>
    <xf numFmtId="0" fontId="10" fillId="3" borderId="11" xfId="4" applyFont="1" applyFill="1" applyBorder="1" applyAlignment="1" applyProtection="1">
      <alignment horizontal="center"/>
    </xf>
    <xf numFmtId="0" fontId="10" fillId="3" borderId="10" xfId="4" applyFont="1" applyFill="1" applyBorder="1" applyAlignment="1" applyProtection="1">
      <alignment horizontal="center"/>
    </xf>
    <xf numFmtId="0" fontId="10" fillId="3" borderId="9" xfId="4" applyFont="1" applyFill="1" applyBorder="1" applyAlignment="1" applyProtection="1">
      <alignment horizontal="center"/>
    </xf>
    <xf numFmtId="0" fontId="10" fillId="3" borderId="6" xfId="4" applyFont="1" applyFill="1" applyBorder="1" applyAlignment="1" applyProtection="1">
      <alignment horizontal="center"/>
    </xf>
    <xf numFmtId="0" fontId="10" fillId="3" borderId="14" xfId="4" applyFont="1" applyFill="1" applyBorder="1" applyAlignment="1" applyProtection="1">
      <alignment horizontal="center"/>
    </xf>
    <xf numFmtId="49" fontId="3" fillId="0" borderId="0" xfId="1" applyNumberFormat="1" applyFont="1" applyProtection="1"/>
    <xf numFmtId="0" fontId="9" fillId="3" borderId="8" xfId="1" applyFont="1" applyFill="1" applyBorder="1" applyAlignment="1" applyProtection="1">
      <alignment horizontal="right" vertical="center" wrapText="1"/>
    </xf>
    <xf numFmtId="37" fontId="10" fillId="3" borderId="7" xfId="21" applyNumberFormat="1" applyFont="1" applyFill="1" applyBorder="1" applyAlignment="1" applyProtection="1">
      <alignment horizontal="right"/>
    </xf>
    <xf numFmtId="37" fontId="10" fillId="3" borderId="0" xfId="21" applyNumberFormat="1" applyFont="1" applyFill="1" applyBorder="1" applyAlignment="1" applyProtection="1">
      <alignment horizontal="right"/>
    </xf>
    <xf numFmtId="37" fontId="10" fillId="3" borderId="3" xfId="21" applyNumberFormat="1" applyFont="1" applyFill="1" applyBorder="1" applyAlignment="1" applyProtection="1">
      <alignment horizontal="right"/>
    </xf>
    <xf numFmtId="37" fontId="10" fillId="3" borderId="2" xfId="21" applyNumberFormat="1" applyFont="1" applyFill="1" applyBorder="1" applyAlignment="1" applyProtection="1">
      <alignment horizontal="right"/>
    </xf>
    <xf numFmtId="0" fontId="10" fillId="3" borderId="8" xfId="4" applyFont="1" applyFill="1" applyBorder="1" applyAlignment="1" applyProtection="1">
      <alignment horizontal="center"/>
    </xf>
    <xf numFmtId="0" fontId="10" fillId="3" borderId="7" xfId="4" applyFont="1" applyFill="1" applyBorder="1" applyAlignment="1" applyProtection="1">
      <alignment horizontal="center"/>
    </xf>
    <xf numFmtId="0" fontId="9" fillId="3" borderId="3" xfId="1" applyFont="1" applyFill="1" applyBorder="1" applyAlignment="1" applyProtection="1">
      <alignment horizontal="centerContinuous"/>
    </xf>
    <xf numFmtId="0" fontId="10" fillId="3" borderId="2" xfId="4" applyFont="1" applyFill="1" applyBorder="1" applyAlignment="1" applyProtection="1">
      <alignment horizontal="centerContinuous"/>
    </xf>
    <xf numFmtId="167" fontId="10" fillId="3" borderId="8" xfId="7" applyNumberFormat="1" applyFont="1" applyFill="1" applyBorder="1" applyAlignment="1" applyProtection="1">
      <alignment horizontal="right" vertical="center"/>
    </xf>
    <xf numFmtId="0" fontId="10" fillId="3" borderId="11" xfId="4" applyFont="1" applyFill="1" applyBorder="1" applyAlignment="1" applyProtection="1">
      <alignment horizontal="center" vertical="center"/>
    </xf>
    <xf numFmtId="167" fontId="10" fillId="3" borderId="5" xfId="7" applyNumberFormat="1" applyFont="1" applyFill="1" applyBorder="1" applyAlignment="1" applyProtection="1">
      <alignment horizontal="right" vertical="center"/>
    </xf>
    <xf numFmtId="0" fontId="10" fillId="3" borderId="10" xfId="4" applyFont="1" applyFill="1" applyBorder="1" applyAlignment="1" applyProtection="1">
      <alignment horizontal="center" vertical="center"/>
    </xf>
    <xf numFmtId="167" fontId="10" fillId="3" borderId="3" xfId="7" applyNumberFormat="1" applyFont="1" applyFill="1" applyBorder="1" applyAlignment="1" applyProtection="1">
      <alignment horizontal="right" vertical="center"/>
    </xf>
    <xf numFmtId="0" fontId="10" fillId="3" borderId="9" xfId="4" applyFont="1" applyFill="1" applyBorder="1" applyAlignment="1" applyProtection="1">
      <alignment horizontal="center" vertical="center"/>
    </xf>
    <xf numFmtId="0" fontId="10" fillId="3" borderId="13" xfId="4" applyFont="1" applyFill="1" applyBorder="1" applyAlignment="1" applyProtection="1">
      <alignment horizontal="right" wrapText="1"/>
    </xf>
    <xf numFmtId="0" fontId="10" fillId="3" borderId="1" xfId="4" applyFont="1" applyFill="1" applyBorder="1" applyAlignment="1" applyProtection="1">
      <alignment horizontal="center" wrapText="1"/>
    </xf>
    <xf numFmtId="9" fontId="3" fillId="0" borderId="0" xfId="6" applyFont="1" applyProtection="1"/>
    <xf numFmtId="37" fontId="3" fillId="0" borderId="0" xfId="1" applyNumberFormat="1" applyFont="1" applyProtection="1"/>
    <xf numFmtId="166" fontId="3" fillId="0" borderId="0" xfId="1" applyNumberFormat="1" applyFont="1" applyProtection="1"/>
    <xf numFmtId="166" fontId="10" fillId="3" borderId="2" xfId="7" applyNumberFormat="1" applyFont="1" applyFill="1" applyBorder="1" applyAlignment="1" applyProtection="1">
      <alignment horizontal="right"/>
    </xf>
    <xf numFmtId="43" fontId="3" fillId="0" borderId="0" xfId="1" applyNumberFormat="1" applyFont="1" applyAlignment="1" applyProtection="1"/>
    <xf numFmtId="9" fontId="25" fillId="0" borderId="0" xfId="6" applyFont="1" applyProtection="1"/>
    <xf numFmtId="182" fontId="3" fillId="0" borderId="0" xfId="1" applyNumberFormat="1" applyFont="1" applyProtection="1"/>
    <xf numFmtId="182" fontId="3" fillId="0" borderId="0" xfId="7" applyNumberFormat="1" applyFont="1" applyProtection="1"/>
    <xf numFmtId="0" fontId="10" fillId="3" borderId="0" xfId="1" applyFont="1" applyFill="1" applyBorder="1" applyAlignment="1" applyProtection="1">
      <alignment horizontal="left"/>
    </xf>
    <xf numFmtId="0" fontId="10" fillId="3" borderId="0" xfId="1" applyFont="1" applyFill="1" applyBorder="1" applyAlignment="1" applyProtection="1">
      <alignment horizontal="center" wrapText="1"/>
    </xf>
    <xf numFmtId="14" fontId="33" fillId="3" borderId="0" xfId="1" applyNumberFormat="1" applyFont="1" applyFill="1" applyBorder="1" applyAlignment="1" applyProtection="1">
      <alignment horizontal="center"/>
    </xf>
    <xf numFmtId="0" fontId="33" fillId="3" borderId="0" xfId="22" applyNumberFormat="1" applyFont="1" applyFill="1" applyBorder="1" applyAlignment="1" applyProtection="1">
      <alignment horizontal="center"/>
    </xf>
    <xf numFmtId="3" fontId="9" fillId="3" borderId="0" xfId="1" applyNumberFormat="1" applyFont="1" applyFill="1" applyBorder="1" applyAlignment="1" applyProtection="1">
      <alignment horizontal="right" vertical="center" wrapText="1"/>
    </xf>
    <xf numFmtId="0" fontId="3" fillId="3" borderId="0" xfId="1" applyFont="1" applyFill="1" applyBorder="1" applyAlignment="1" applyProtection="1">
      <alignment horizontal="right"/>
    </xf>
    <xf numFmtId="2" fontId="7" fillId="3" borderId="4" xfId="1" applyNumberFormat="1" applyFont="1" applyFill="1" applyBorder="1" applyProtection="1"/>
    <xf numFmtId="0" fontId="10" fillId="3" borderId="14" xfId="4" applyFont="1" applyFill="1" applyBorder="1" applyAlignment="1" applyProtection="1">
      <alignment horizontal="center" vertical="center" wrapText="1"/>
    </xf>
    <xf numFmtId="0" fontId="10" fillId="3" borderId="2" xfId="4" applyFont="1" applyFill="1" applyBorder="1" applyAlignment="1" applyProtection="1">
      <alignment horizontal="centerContinuous" vertical="center" wrapText="1"/>
    </xf>
    <xf numFmtId="0" fontId="10" fillId="3" borderId="3" xfId="4" applyFont="1" applyFill="1" applyBorder="1" applyAlignment="1" applyProtection="1">
      <alignment horizontal="centerContinuous" vertical="center" wrapText="1"/>
    </xf>
    <xf numFmtId="0" fontId="10" fillId="3" borderId="6" xfId="4" applyFont="1" applyFill="1" applyBorder="1" applyAlignment="1" applyProtection="1">
      <alignment horizontal="center" vertical="center" wrapText="1"/>
    </xf>
    <xf numFmtId="0" fontId="10" fillId="3" borderId="7" xfId="4" applyFont="1" applyFill="1" applyBorder="1" applyAlignment="1" applyProtection="1">
      <alignment horizontal="right" vertical="center" wrapText="1"/>
    </xf>
    <xf numFmtId="0" fontId="10" fillId="3" borderId="8" xfId="4" applyFont="1" applyFill="1" applyBorder="1" applyAlignment="1" applyProtection="1">
      <alignment horizontal="right" vertical="center" wrapText="1"/>
    </xf>
    <xf numFmtId="0" fontId="10" fillId="3" borderId="9" xfId="4" applyFont="1" applyFill="1" applyBorder="1" applyAlignment="1" applyProtection="1">
      <alignment horizontal="center" vertical="center" wrapText="1"/>
    </xf>
    <xf numFmtId="3" fontId="10" fillId="3" borderId="14" xfId="4" applyNumberFormat="1" applyFont="1" applyFill="1" applyBorder="1" applyAlignment="1" applyProtection="1">
      <alignment horizontal="right" vertical="center" wrapText="1"/>
    </xf>
    <xf numFmtId="3" fontId="10" fillId="3" borderId="2" xfId="4" applyNumberFormat="1" applyFont="1" applyFill="1" applyBorder="1" applyAlignment="1" applyProtection="1">
      <alignment horizontal="right" vertical="center" wrapText="1"/>
    </xf>
    <xf numFmtId="3" fontId="10" fillId="3" borderId="3" xfId="4" applyNumberFormat="1" applyFont="1" applyFill="1" applyBorder="1" applyAlignment="1" applyProtection="1">
      <alignment horizontal="right" vertical="center" wrapText="1"/>
    </xf>
    <xf numFmtId="3" fontId="3" fillId="0" borderId="0" xfId="1" applyNumberFormat="1" applyFont="1" applyProtection="1"/>
    <xf numFmtId="0" fontId="10" fillId="3" borderId="10" xfId="4" applyFont="1" applyFill="1" applyBorder="1" applyAlignment="1" applyProtection="1">
      <alignment horizontal="center" vertical="center" wrapText="1"/>
    </xf>
    <xf numFmtId="3" fontId="10" fillId="3" borderId="4" xfId="4" applyNumberFormat="1" applyFont="1" applyFill="1" applyBorder="1" applyAlignment="1" applyProtection="1">
      <alignment horizontal="right" vertical="center" wrapText="1"/>
    </xf>
    <xf numFmtId="3" fontId="10" fillId="3" borderId="0" xfId="4" applyNumberFormat="1" applyFont="1" applyFill="1" applyBorder="1" applyAlignment="1" applyProtection="1">
      <alignment horizontal="right" vertical="center" wrapText="1"/>
    </xf>
    <xf numFmtId="3" fontId="10" fillId="3" borderId="5" xfId="4" applyNumberFormat="1" applyFont="1" applyFill="1" applyBorder="1" applyAlignment="1" applyProtection="1">
      <alignment horizontal="right" vertical="center" wrapText="1"/>
    </xf>
    <xf numFmtId="0" fontId="27" fillId="3" borderId="0" xfId="1" applyFont="1" applyFill="1" applyBorder="1" applyAlignment="1" applyProtection="1">
      <alignment horizontal="center" vertical="center"/>
    </xf>
    <xf numFmtId="0" fontId="27" fillId="3" borderId="5" xfId="1" applyFont="1" applyFill="1" applyBorder="1" applyAlignment="1" applyProtection="1">
      <alignment horizontal="center" vertical="center"/>
    </xf>
    <xf numFmtId="0" fontId="10" fillId="3" borderId="11" xfId="4" applyFont="1" applyFill="1" applyBorder="1" applyAlignment="1" applyProtection="1">
      <alignment horizontal="center" vertical="center" wrapText="1"/>
    </xf>
    <xf numFmtId="3" fontId="10" fillId="3" borderId="6" xfId="4" applyNumberFormat="1" applyFont="1" applyFill="1" applyBorder="1" applyAlignment="1" applyProtection="1">
      <alignment horizontal="right" vertical="center" wrapText="1"/>
    </xf>
    <xf numFmtId="3" fontId="10" fillId="3" borderId="7" xfId="4" applyNumberFormat="1" applyFont="1" applyFill="1" applyBorder="1" applyAlignment="1" applyProtection="1">
      <alignment horizontal="right" vertical="center" wrapText="1"/>
    </xf>
    <xf numFmtId="3" fontId="10" fillId="3" borderId="8" xfId="4" applyNumberFormat="1" applyFont="1" applyFill="1" applyBorder="1" applyAlignment="1" applyProtection="1">
      <alignment horizontal="right" vertical="center" wrapText="1"/>
    </xf>
    <xf numFmtId="0" fontId="10" fillId="3" borderId="0" xfId="4" applyFont="1" applyFill="1" applyBorder="1" applyAlignment="1" applyProtection="1">
      <alignment horizontal="center" vertical="center" wrapText="1"/>
    </xf>
    <xf numFmtId="0" fontId="10" fillId="3" borderId="3" xfId="4" applyFont="1" applyFill="1" applyBorder="1" applyAlignment="1" applyProtection="1">
      <alignment horizontal="center" vertical="center" wrapText="1"/>
    </xf>
    <xf numFmtId="0" fontId="10" fillId="3" borderId="4" xfId="4" applyFont="1" applyFill="1" applyBorder="1" applyAlignment="1" applyProtection="1">
      <alignment horizontal="center" vertical="center" wrapText="1"/>
    </xf>
    <xf numFmtId="0" fontId="10" fillId="3" borderId="5" xfId="4" applyFont="1" applyFill="1" applyBorder="1" applyAlignment="1" applyProtection="1">
      <alignment horizontal="center" vertical="center" wrapText="1"/>
    </xf>
    <xf numFmtId="0" fontId="10" fillId="3" borderId="8" xfId="4" applyFont="1" applyFill="1" applyBorder="1" applyAlignment="1" applyProtection="1">
      <alignment horizontal="center" vertical="center" wrapText="1"/>
    </xf>
    <xf numFmtId="3" fontId="10" fillId="3" borderId="9" xfId="4" applyNumberFormat="1" applyFont="1" applyFill="1" applyBorder="1" applyAlignment="1" applyProtection="1">
      <alignment horizontal="right" vertical="center" wrapText="1"/>
    </xf>
    <xf numFmtId="3" fontId="10" fillId="3" borderId="10" xfId="4" applyNumberFormat="1" applyFont="1" applyFill="1" applyBorder="1" applyAlignment="1" applyProtection="1">
      <alignment horizontal="right" vertical="center" wrapText="1"/>
    </xf>
    <xf numFmtId="3" fontId="10" fillId="3" borderId="11" xfId="4" applyNumberFormat="1" applyFont="1" applyFill="1" applyBorder="1" applyAlignment="1" applyProtection="1">
      <alignment horizontal="right" vertical="center" wrapText="1"/>
    </xf>
    <xf numFmtId="0" fontId="10" fillId="3" borderId="0" xfId="4" applyFont="1" applyFill="1" applyBorder="1" applyAlignment="1" applyProtection="1">
      <alignment horizontal="centerContinuous" vertical="center" wrapText="1"/>
    </xf>
    <xf numFmtId="0" fontId="10" fillId="3" borderId="5" xfId="4" applyFont="1" applyFill="1" applyBorder="1" applyAlignment="1" applyProtection="1">
      <alignment horizontal="centerContinuous" vertical="center" wrapText="1"/>
    </xf>
    <xf numFmtId="0" fontId="10" fillId="3" borderId="0" xfId="4" quotePrefix="1" applyFont="1" applyFill="1" applyBorder="1" applyAlignment="1" applyProtection="1">
      <alignment horizontal="center" vertical="center" wrapText="1"/>
    </xf>
    <xf numFmtId="185" fontId="10" fillId="3" borderId="0" xfId="4" applyNumberFormat="1" applyFont="1" applyFill="1" applyBorder="1" applyAlignment="1" applyProtection="1">
      <alignment horizontal="right" vertical="center" wrapText="1"/>
    </xf>
    <xf numFmtId="9" fontId="3" fillId="3" borderId="9" xfId="1" applyNumberFormat="1" applyFont="1" applyFill="1" applyBorder="1" applyAlignment="1" applyProtection="1">
      <alignment horizontal="right"/>
    </xf>
    <xf numFmtId="185" fontId="10" fillId="3" borderId="14" xfId="4" applyNumberFormat="1" applyFont="1" applyFill="1" applyBorder="1" applyAlignment="1" applyProtection="1">
      <alignment horizontal="left" vertical="center"/>
    </xf>
    <xf numFmtId="185" fontId="10" fillId="3" borderId="2" xfId="4" applyNumberFormat="1" applyFont="1" applyFill="1" applyBorder="1" applyAlignment="1" applyProtection="1">
      <alignment horizontal="right" vertical="center" wrapText="1"/>
    </xf>
    <xf numFmtId="185" fontId="10" fillId="3" borderId="3" xfId="4" applyNumberFormat="1" applyFont="1" applyFill="1" applyBorder="1" applyAlignment="1" applyProtection="1">
      <alignment horizontal="right" vertical="center" wrapText="1"/>
    </xf>
    <xf numFmtId="0" fontId="3" fillId="3" borderId="11" xfId="1" applyFont="1" applyFill="1" applyBorder="1" applyAlignment="1" applyProtection="1">
      <alignment horizontal="right"/>
    </xf>
    <xf numFmtId="185" fontId="10" fillId="3" borderId="6" xfId="4" applyNumberFormat="1" applyFont="1" applyFill="1" applyBorder="1" applyAlignment="1" applyProtection="1">
      <alignment horizontal="left" vertical="center"/>
    </xf>
    <xf numFmtId="185" fontId="10" fillId="3" borderId="7" xfId="4" applyNumberFormat="1" applyFont="1" applyFill="1" applyBorder="1" applyAlignment="1" applyProtection="1">
      <alignment horizontal="right" vertical="center" wrapText="1"/>
    </xf>
    <xf numFmtId="185" fontId="10" fillId="3" borderId="8" xfId="4" applyNumberFormat="1" applyFont="1" applyFill="1" applyBorder="1" applyAlignment="1" applyProtection="1">
      <alignment horizontal="right" vertical="center" wrapText="1"/>
    </xf>
    <xf numFmtId="0" fontId="3" fillId="3" borderId="0" xfId="1" applyFont="1" applyFill="1" applyBorder="1" applyAlignment="1" applyProtection="1">
      <alignment horizontal="center" vertical="center"/>
    </xf>
    <xf numFmtId="3" fontId="3" fillId="3" borderId="0" xfId="1" applyNumberFormat="1" applyFont="1" applyFill="1" applyBorder="1" applyAlignment="1" applyProtection="1">
      <alignment horizontal="right" vertical="center"/>
    </xf>
    <xf numFmtId="0" fontId="3" fillId="3" borderId="5" xfId="1" applyFont="1" applyFill="1" applyBorder="1" applyAlignment="1" applyProtection="1">
      <alignment horizontal="right" vertical="center"/>
    </xf>
    <xf numFmtId="0" fontId="3" fillId="3" borderId="5" xfId="1" applyFont="1" applyFill="1" applyBorder="1" applyAlignment="1" applyProtection="1">
      <alignment vertical="center"/>
    </xf>
    <xf numFmtId="2" fontId="7" fillId="3" borderId="6" xfId="1" applyNumberFormat="1" applyFont="1" applyFill="1" applyBorder="1" applyProtection="1"/>
    <xf numFmtId="0" fontId="3" fillId="3" borderId="7" xfId="1" applyFont="1" applyFill="1" applyBorder="1" applyAlignment="1" applyProtection="1">
      <alignment horizontal="left"/>
    </xf>
    <xf numFmtId="0" fontId="27" fillId="3" borderId="7" xfId="1" applyFont="1" applyFill="1" applyBorder="1" applyAlignment="1" applyProtection="1">
      <alignment horizontal="center" vertical="center"/>
    </xf>
    <xf numFmtId="0" fontId="27" fillId="3" borderId="8" xfId="1" applyFont="1" applyFill="1" applyBorder="1" applyAlignment="1" applyProtection="1">
      <alignment horizontal="center" vertical="center"/>
    </xf>
    <xf numFmtId="43" fontId="25" fillId="0" borderId="0" xfId="7" applyFont="1" applyProtection="1"/>
    <xf numFmtId="4" fontId="10" fillId="3" borderId="14" xfId="4" applyNumberFormat="1" applyFont="1" applyFill="1" applyBorder="1" applyAlignment="1" applyProtection="1">
      <alignment horizontal="right" vertical="center" wrapText="1"/>
    </xf>
    <xf numFmtId="4" fontId="3" fillId="0" borderId="0" xfId="1" applyNumberFormat="1" applyFont="1" applyProtection="1"/>
    <xf numFmtId="0" fontId="10" fillId="3" borderId="7" xfId="4" quotePrefix="1" applyFont="1" applyFill="1" applyBorder="1" applyAlignment="1" applyProtection="1">
      <alignment horizontal="right" vertical="center" wrapText="1"/>
    </xf>
    <xf numFmtId="4" fontId="10" fillId="3" borderId="6" xfId="4" applyNumberFormat="1" applyFont="1" applyFill="1" applyBorder="1" applyAlignment="1" applyProtection="1">
      <alignment horizontal="right" vertical="center" wrapText="1"/>
    </xf>
    <xf numFmtId="43" fontId="3" fillId="4" borderId="0" xfId="7" applyNumberFormat="1" applyFont="1" applyFill="1" applyProtection="1"/>
    <xf numFmtId="167" fontId="3" fillId="11" borderId="0" xfId="7" applyNumberFormat="1" applyFont="1" applyFill="1" applyProtection="1"/>
    <xf numFmtId="0" fontId="10" fillId="3" borderId="2" xfId="1" applyFont="1" applyFill="1" applyBorder="1" applyAlignment="1" applyProtection="1">
      <alignment horizontal="centerContinuous" vertical="center"/>
    </xf>
    <xf numFmtId="0" fontId="10" fillId="3" borderId="3" xfId="1" applyFont="1" applyFill="1" applyBorder="1" applyAlignment="1" applyProtection="1">
      <alignment horizontal="centerContinuous" vertical="center"/>
    </xf>
    <xf numFmtId="0" fontId="10" fillId="3" borderId="0" xfId="1" applyFont="1" applyFill="1" applyBorder="1" applyAlignment="1" applyProtection="1">
      <alignment vertical="center" wrapText="1"/>
    </xf>
    <xf numFmtId="0" fontId="10" fillId="3" borderId="0" xfId="1" applyFont="1" applyFill="1" applyBorder="1" applyAlignment="1" applyProtection="1">
      <alignment horizontal="centerContinuous" vertical="center"/>
    </xf>
    <xf numFmtId="0" fontId="10" fillId="3" borderId="5" xfId="1" applyFont="1" applyFill="1" applyBorder="1" applyAlignment="1" applyProtection="1">
      <alignment horizontal="centerContinuous" vertical="center"/>
    </xf>
    <xf numFmtId="0" fontId="10" fillId="3" borderId="7" xfId="1" applyFont="1" applyFill="1" applyBorder="1" applyAlignment="1" applyProtection="1">
      <alignment horizontal="right" vertical="center" wrapText="1"/>
    </xf>
    <xf numFmtId="2" fontId="10" fillId="3" borderId="9" xfId="1" applyNumberFormat="1" applyFont="1" applyFill="1" applyBorder="1" applyProtection="1"/>
    <xf numFmtId="0" fontId="10" fillId="3" borderId="2" xfId="1" quotePrefix="1" applyFont="1" applyFill="1" applyBorder="1" applyProtection="1"/>
    <xf numFmtId="0" fontId="10" fillId="3" borderId="2" xfId="1" applyFont="1" applyFill="1" applyBorder="1" applyAlignment="1" applyProtection="1">
      <alignment vertical="center" wrapText="1"/>
    </xf>
    <xf numFmtId="0" fontId="10" fillId="3" borderId="2" xfId="1" applyFont="1" applyFill="1" applyBorder="1" applyProtection="1"/>
    <xf numFmtId="9" fontId="10" fillId="3" borderId="11" xfId="1" applyNumberFormat="1" applyFont="1" applyFill="1" applyBorder="1" applyProtection="1"/>
    <xf numFmtId="0" fontId="10" fillId="3" borderId="7" xfId="1" applyFont="1" applyFill="1" applyBorder="1" applyAlignment="1" applyProtection="1">
      <alignment vertical="center" wrapText="1"/>
    </xf>
    <xf numFmtId="0" fontId="10" fillId="3" borderId="14" xfId="1" applyFont="1" applyFill="1" applyBorder="1" applyAlignment="1" applyProtection="1">
      <alignment vertical="center" wrapText="1"/>
    </xf>
    <xf numFmtId="0" fontId="10" fillId="3" borderId="3" xfId="1" applyFont="1" applyFill="1" applyBorder="1" applyAlignment="1" applyProtection="1">
      <alignment horizontal="right" vertical="center" wrapText="1"/>
    </xf>
    <xf numFmtId="0" fontId="10" fillId="3" borderId="5" xfId="1" applyFont="1" applyFill="1" applyBorder="1" applyAlignment="1" applyProtection="1">
      <alignment horizontal="right" vertical="center" wrapText="1"/>
    </xf>
    <xf numFmtId="0" fontId="10" fillId="3" borderId="8" xfId="1" applyFont="1" applyFill="1" applyBorder="1" applyAlignment="1" applyProtection="1">
      <alignment horizontal="right" vertical="center"/>
    </xf>
    <xf numFmtId="3" fontId="10" fillId="3" borderId="9" xfId="1" applyNumberFormat="1" applyFont="1" applyFill="1" applyBorder="1" applyAlignment="1" applyProtection="1">
      <alignment horizontal="right" vertical="center" wrapText="1"/>
    </xf>
    <xf numFmtId="3" fontId="10" fillId="3" borderId="10" xfId="1" applyNumberFormat="1" applyFont="1" applyFill="1" applyBorder="1" applyAlignment="1" applyProtection="1">
      <alignment horizontal="right" vertical="center" wrapText="1"/>
    </xf>
    <xf numFmtId="3" fontId="10" fillId="3" borderId="11" xfId="1" applyNumberFormat="1" applyFont="1" applyFill="1" applyBorder="1" applyAlignment="1" applyProtection="1">
      <alignment horizontal="right" vertical="center" wrapText="1"/>
    </xf>
    <xf numFmtId="0" fontId="10" fillId="3" borderId="0" xfId="1" applyFont="1" applyFill="1" applyBorder="1" applyAlignment="1" applyProtection="1">
      <alignment horizontal="right" vertical="center" wrapText="1"/>
    </xf>
    <xf numFmtId="4" fontId="4" fillId="4" borderId="0" xfId="1" applyNumberFormat="1" applyFont="1" applyFill="1" applyProtection="1"/>
    <xf numFmtId="186" fontId="10" fillId="0" borderId="0" xfId="1" applyNumberFormat="1" applyFont="1" applyProtection="1"/>
    <xf numFmtId="166" fontId="4" fillId="4" borderId="0" xfId="1" applyNumberFormat="1" applyFont="1" applyFill="1" applyProtection="1"/>
    <xf numFmtId="0" fontId="10" fillId="0" borderId="0" xfId="1" applyFont="1" applyBorder="1" applyProtection="1"/>
    <xf numFmtId="0" fontId="10" fillId="0" borderId="12" xfId="1" applyFont="1" applyBorder="1" applyProtection="1"/>
    <xf numFmtId="177" fontId="10" fillId="0" borderId="13" xfId="19" applyNumberFormat="1" applyFont="1" applyBorder="1" applyProtection="1"/>
    <xf numFmtId="0" fontId="8" fillId="2" borderId="6" xfId="2" quotePrefix="1" applyFont="1" applyFill="1" applyBorder="1" applyAlignment="1" applyProtection="1">
      <alignment horizontal="right"/>
    </xf>
    <xf numFmtId="0" fontId="8" fillId="2" borderId="7" xfId="2" quotePrefix="1" applyFont="1" applyFill="1" applyBorder="1" applyAlignment="1" applyProtection="1">
      <alignment horizontal="right"/>
    </xf>
    <xf numFmtId="0" fontId="8" fillId="2" borderId="8" xfId="2" quotePrefix="1" applyFont="1" applyFill="1" applyBorder="1" applyAlignment="1" applyProtection="1">
      <alignment horizontal="right"/>
    </xf>
    <xf numFmtId="0" fontId="8" fillId="0" borderId="0" xfId="2" applyFont="1" applyProtection="1">
      <protection locked="0"/>
    </xf>
    <xf numFmtId="2" fontId="8" fillId="0" borderId="0" xfId="2" applyNumberFormat="1" applyFont="1" applyProtection="1">
      <protection locked="0"/>
    </xf>
    <xf numFmtId="0" fontId="8" fillId="2" borderId="2" xfId="2" applyFont="1" applyFill="1" applyBorder="1" applyProtection="1"/>
    <xf numFmtId="0" fontId="8" fillId="2" borderId="3" xfId="2" applyFont="1" applyFill="1" applyBorder="1" applyProtection="1"/>
    <xf numFmtId="0" fontId="8" fillId="0" borderId="0" xfId="2" applyFont="1" applyProtection="1"/>
    <xf numFmtId="2" fontId="6" fillId="2" borderId="4" xfId="2" applyNumberFormat="1" applyFont="1" applyFill="1" applyBorder="1" applyAlignment="1" applyProtection="1">
      <alignment horizontal="center"/>
    </xf>
    <xf numFmtId="0" fontId="8" fillId="2" borderId="0" xfId="2" applyFont="1" applyFill="1" applyBorder="1" applyProtection="1"/>
    <xf numFmtId="0" fontId="8" fillId="2" borderId="5" xfId="2" applyFont="1" applyFill="1" applyBorder="1" applyProtection="1"/>
    <xf numFmtId="2" fontId="7" fillId="2" borderId="4" xfId="2" applyNumberFormat="1" applyFont="1" applyFill="1" applyBorder="1" applyAlignment="1" applyProtection="1">
      <alignment horizontal="center"/>
    </xf>
    <xf numFmtId="0" fontId="3" fillId="2" borderId="0" xfId="2" applyFont="1" applyFill="1" applyBorder="1" applyProtection="1"/>
    <xf numFmtId="2" fontId="8" fillId="2" borderId="4" xfId="2" applyNumberFormat="1" applyFont="1" applyFill="1" applyBorder="1" applyProtection="1"/>
    <xf numFmtId="0" fontId="8" fillId="2" borderId="14" xfId="2" applyFont="1" applyFill="1" applyBorder="1" applyAlignment="1" applyProtection="1">
      <alignment horizontal="center"/>
    </xf>
    <xf numFmtId="0" fontId="8" fillId="2" borderId="2" xfId="2" applyFont="1" applyFill="1" applyBorder="1" applyAlignment="1" applyProtection="1">
      <alignment horizontal="center"/>
    </xf>
    <xf numFmtId="0" fontId="8" fillId="2" borderId="3" xfId="2" applyFont="1" applyFill="1" applyBorder="1" applyAlignment="1" applyProtection="1">
      <alignment horizontal="center"/>
    </xf>
    <xf numFmtId="0" fontId="8" fillId="2" borderId="6" xfId="2" applyFont="1" applyFill="1" applyBorder="1" applyAlignment="1" applyProtection="1">
      <alignment horizontal="center"/>
    </xf>
    <xf numFmtId="0" fontId="8" fillId="2" borderId="7" xfId="2" applyFont="1" applyFill="1" applyBorder="1" applyAlignment="1" applyProtection="1">
      <alignment horizontal="center"/>
    </xf>
    <xf numFmtId="0" fontId="8" fillId="2" borderId="8" xfId="2" applyFont="1" applyFill="1" applyBorder="1" applyAlignment="1" applyProtection="1">
      <alignment horizontal="center"/>
    </xf>
    <xf numFmtId="0" fontId="8" fillId="2" borderId="9" xfId="2" applyFont="1" applyFill="1" applyBorder="1" applyAlignment="1" applyProtection="1">
      <alignment horizontal="center"/>
    </xf>
    <xf numFmtId="3" fontId="8" fillId="2" borderId="14" xfId="2" applyNumberFormat="1" applyFont="1" applyFill="1" applyBorder="1" applyAlignment="1" applyProtection="1">
      <alignment horizontal="right"/>
    </xf>
    <xf numFmtId="3" fontId="8" fillId="2" borderId="2" xfId="2" applyNumberFormat="1" applyFont="1" applyFill="1" applyBorder="1" applyAlignment="1" applyProtection="1">
      <alignment horizontal="right"/>
    </xf>
    <xf numFmtId="3" fontId="8" fillId="2" borderId="3" xfId="2" applyNumberFormat="1" applyFont="1" applyFill="1" applyBorder="1" applyAlignment="1" applyProtection="1">
      <alignment horizontal="right"/>
    </xf>
    <xf numFmtId="0" fontId="8" fillId="2" borderId="10" xfId="2" applyFont="1" applyFill="1" applyBorder="1" applyAlignment="1" applyProtection="1">
      <alignment horizontal="center"/>
    </xf>
    <xf numFmtId="3" fontId="8" fillId="2" borderId="4" xfId="2" applyNumberFormat="1" applyFont="1" applyFill="1" applyBorder="1" applyAlignment="1" applyProtection="1">
      <alignment horizontal="right"/>
    </xf>
    <xf numFmtId="3" fontId="8" fillId="2" borderId="0" xfId="2" applyNumberFormat="1" applyFont="1" applyFill="1" applyBorder="1" applyAlignment="1" applyProtection="1">
      <alignment horizontal="right"/>
    </xf>
    <xf numFmtId="3" fontId="8" fillId="2" borderId="5" xfId="2" applyNumberFormat="1" applyFont="1" applyFill="1" applyBorder="1" applyAlignment="1" applyProtection="1">
      <alignment horizontal="right"/>
    </xf>
    <xf numFmtId="0" fontId="8" fillId="2" borderId="11" xfId="2" applyFont="1" applyFill="1" applyBorder="1" applyAlignment="1" applyProtection="1">
      <alignment horizontal="center"/>
    </xf>
    <xf numFmtId="3" fontId="8" fillId="2" borderId="6" xfId="2" applyNumberFormat="1" applyFont="1" applyFill="1" applyBorder="1" applyAlignment="1" applyProtection="1">
      <alignment horizontal="right"/>
    </xf>
    <xf numFmtId="3" fontId="8" fillId="2" borderId="7" xfId="2" applyNumberFormat="1" applyFont="1" applyFill="1" applyBorder="1" applyAlignment="1" applyProtection="1">
      <alignment horizontal="right"/>
    </xf>
    <xf numFmtId="3" fontId="8" fillId="2" borderId="8" xfId="2" applyNumberFormat="1" applyFont="1" applyFill="1" applyBorder="1" applyAlignment="1" applyProtection="1">
      <alignment horizontal="right"/>
    </xf>
    <xf numFmtId="0" fontId="8" fillId="2" borderId="12" xfId="2" applyFont="1" applyFill="1" applyBorder="1" applyAlignment="1" applyProtection="1">
      <alignment horizontal="centerContinuous"/>
    </xf>
    <xf numFmtId="0" fontId="8" fillId="2" borderId="15" xfId="2" applyFont="1" applyFill="1" applyBorder="1" applyAlignment="1" applyProtection="1">
      <alignment horizontal="centerContinuous"/>
    </xf>
    <xf numFmtId="0" fontId="8" fillId="2" borderId="13" xfId="2" applyFont="1" applyFill="1" applyBorder="1" applyAlignment="1" applyProtection="1">
      <alignment horizontal="centerContinuous"/>
    </xf>
    <xf numFmtId="179" fontId="8" fillId="2" borderId="10" xfId="2" applyNumberFormat="1" applyFont="1" applyFill="1" applyBorder="1" applyProtection="1"/>
    <xf numFmtId="0" fontId="8" fillId="2" borderId="14" xfId="2" applyFont="1" applyFill="1" applyBorder="1" applyProtection="1"/>
    <xf numFmtId="0" fontId="8" fillId="2" borderId="4" xfId="2" applyFont="1" applyFill="1" applyBorder="1" applyProtection="1"/>
    <xf numFmtId="9" fontId="8" fillId="2" borderId="11" xfId="6" applyFont="1" applyFill="1" applyBorder="1" applyProtection="1"/>
    <xf numFmtId="0" fontId="8" fillId="2" borderId="6" xfId="2" applyFont="1" applyFill="1" applyBorder="1" applyProtection="1"/>
    <xf numFmtId="0" fontId="8" fillId="2" borderId="7" xfId="2" applyFont="1" applyFill="1" applyBorder="1" applyProtection="1"/>
    <xf numFmtId="0" fontId="8" fillId="2" borderId="8" xfId="2" applyFont="1" applyFill="1" applyBorder="1" applyProtection="1"/>
    <xf numFmtId="179" fontId="8" fillId="0" borderId="0" xfId="2" applyNumberFormat="1" applyFont="1" applyProtection="1"/>
    <xf numFmtId="2" fontId="8" fillId="2" borderId="4" xfId="2" applyNumberFormat="1" applyFont="1" applyFill="1" applyBorder="1" applyAlignment="1" applyProtection="1">
      <alignment horizontal="center"/>
    </xf>
    <xf numFmtId="179" fontId="8" fillId="4" borderId="0" xfId="2" applyNumberFormat="1" applyFont="1" applyFill="1" applyProtection="1"/>
    <xf numFmtId="2" fontId="7" fillId="2" borderId="4" xfId="2" applyNumberFormat="1" applyFont="1" applyFill="1" applyBorder="1" applyProtection="1"/>
    <xf numFmtId="3" fontId="8" fillId="0" borderId="0" xfId="2" applyNumberFormat="1" applyFont="1" applyProtection="1"/>
    <xf numFmtId="2" fontId="8" fillId="2" borderId="6" xfId="2" applyNumberFormat="1" applyFont="1" applyFill="1" applyBorder="1" applyProtection="1"/>
    <xf numFmtId="2" fontId="8" fillId="0" borderId="0" xfId="2" applyNumberFormat="1" applyFont="1" applyProtection="1"/>
    <xf numFmtId="0" fontId="3" fillId="0" borderId="0" xfId="23" applyFont="1" applyProtection="1">
      <protection locked="0"/>
    </xf>
    <xf numFmtId="0" fontId="3" fillId="0" borderId="0" xfId="23" applyFont="1" applyFill="1" applyProtection="1">
      <protection locked="0"/>
    </xf>
    <xf numFmtId="0" fontId="8" fillId="2" borderId="2" xfId="23" applyFont="1" applyFill="1" applyBorder="1" applyProtection="1"/>
    <xf numFmtId="0" fontId="3" fillId="2" borderId="2" xfId="23" applyFont="1" applyFill="1" applyBorder="1" applyProtection="1"/>
    <xf numFmtId="0" fontId="3" fillId="2" borderId="3" xfId="23" applyFont="1" applyFill="1" applyBorder="1" applyProtection="1"/>
    <xf numFmtId="0" fontId="3" fillId="0" borderId="0" xfId="23" applyFont="1" applyProtection="1"/>
    <xf numFmtId="0" fontId="6" fillId="8" borderId="4" xfId="23" applyFont="1" applyFill="1" applyBorder="1" applyAlignment="1" applyProtection="1">
      <alignment horizontal="center"/>
    </xf>
    <xf numFmtId="0" fontId="3" fillId="8" borderId="0" xfId="23" applyFont="1" applyFill="1" applyBorder="1" applyProtection="1"/>
    <xf numFmtId="0" fontId="3" fillId="8" borderId="5" xfId="23" applyFont="1" applyFill="1" applyBorder="1" applyProtection="1"/>
    <xf numFmtId="2" fontId="7" fillId="8" borderId="4" xfId="23" applyNumberFormat="1" applyFont="1" applyFill="1" applyBorder="1" applyAlignment="1" applyProtection="1">
      <alignment horizontal="center"/>
    </xf>
    <xf numFmtId="0" fontId="3" fillId="8" borderId="0" xfId="23" applyFont="1" applyFill="1" applyBorder="1" applyAlignment="1" applyProtection="1">
      <alignment horizontal="left"/>
    </xf>
    <xf numFmtId="0" fontId="3" fillId="2" borderId="4" xfId="23" applyFont="1" applyFill="1" applyBorder="1" applyProtection="1"/>
    <xf numFmtId="0" fontId="3" fillId="2" borderId="0" xfId="23" applyFont="1" applyFill="1" applyBorder="1" applyProtection="1"/>
    <xf numFmtId="0" fontId="3" fillId="2" borderId="5" xfId="23" applyFont="1" applyFill="1" applyBorder="1" applyProtection="1"/>
    <xf numFmtId="0" fontId="3" fillId="2" borderId="14" xfId="23" applyFont="1" applyFill="1" applyBorder="1" applyProtection="1"/>
    <xf numFmtId="0" fontId="3" fillId="2" borderId="2" xfId="23" applyFont="1" applyFill="1" applyBorder="1" applyAlignment="1" applyProtection="1">
      <alignment horizontal="right" vertical="center"/>
    </xf>
    <xf numFmtId="0" fontId="3" fillId="2" borderId="2" xfId="23" applyFont="1" applyFill="1" applyBorder="1" applyAlignment="1" applyProtection="1">
      <alignment horizontal="right"/>
    </xf>
    <xf numFmtId="0" fontId="3" fillId="2" borderId="3" xfId="23" applyFont="1" applyFill="1" applyBorder="1" applyAlignment="1" applyProtection="1">
      <alignment horizontal="right"/>
    </xf>
    <xf numFmtId="0" fontId="3" fillId="8" borderId="4" xfId="23" applyFont="1" applyFill="1" applyBorder="1" applyAlignment="1" applyProtection="1">
      <alignment horizontal="left"/>
    </xf>
    <xf numFmtId="0" fontId="3" fillId="8" borderId="0" xfId="23" applyFont="1" applyFill="1" applyBorder="1" applyAlignment="1" applyProtection="1">
      <alignment horizontal="right" vertical="center"/>
    </xf>
    <xf numFmtId="0" fontId="3" fillId="8" borderId="5" xfId="23" applyFont="1" applyFill="1" applyBorder="1" applyAlignment="1" applyProtection="1">
      <alignment horizontal="right"/>
    </xf>
    <xf numFmtId="0" fontId="3" fillId="8" borderId="0" xfId="23" applyFont="1" applyFill="1" applyBorder="1" applyAlignment="1" applyProtection="1">
      <alignment horizontal="center"/>
    </xf>
    <xf numFmtId="0" fontId="3" fillId="8" borderId="4" xfId="23" applyFont="1" applyFill="1" applyBorder="1" applyAlignment="1" applyProtection="1">
      <alignment horizontal="center" vertical="top"/>
    </xf>
    <xf numFmtId="0" fontId="3" fillId="8" borderId="5" xfId="23" applyFont="1" applyFill="1" applyBorder="1" applyAlignment="1" applyProtection="1">
      <alignment horizontal="right" vertical="center"/>
    </xf>
    <xf numFmtId="0" fontId="27" fillId="8" borderId="0" xfId="23" applyFont="1" applyFill="1" applyBorder="1" applyAlignment="1" applyProtection="1">
      <alignment horizontal="center" wrapText="1"/>
    </xf>
    <xf numFmtId="0" fontId="3" fillId="8" borderId="6" xfId="23" applyFont="1" applyFill="1" applyBorder="1" applyAlignment="1" applyProtection="1">
      <alignment horizontal="center"/>
    </xf>
    <xf numFmtId="183" fontId="3" fillId="8" borderId="7" xfId="23" applyNumberFormat="1" applyFont="1" applyFill="1" applyBorder="1" applyAlignment="1" applyProtection="1">
      <alignment horizontal="right" vertical="center" wrapText="1"/>
    </xf>
    <xf numFmtId="183" fontId="3" fillId="8" borderId="8" xfId="23" applyNumberFormat="1" applyFont="1" applyFill="1" applyBorder="1" applyAlignment="1" applyProtection="1">
      <alignment horizontal="right" vertical="center" wrapText="1"/>
    </xf>
    <xf numFmtId="3" fontId="3" fillId="8" borderId="0" xfId="23" applyNumberFormat="1" applyFont="1" applyFill="1" applyBorder="1" applyAlignment="1" applyProtection="1">
      <alignment horizontal="center" vertical="center" wrapText="1"/>
    </xf>
    <xf numFmtId="3" fontId="3" fillId="8" borderId="0" xfId="23" applyNumberFormat="1" applyFont="1" applyFill="1" applyBorder="1" applyAlignment="1" applyProtection="1">
      <alignment horizontal="center"/>
    </xf>
    <xf numFmtId="0" fontId="3" fillId="8" borderId="9" xfId="23" applyFont="1" applyFill="1" applyBorder="1" applyAlignment="1" applyProtection="1">
      <alignment horizontal="center" vertical="center" wrapText="1"/>
    </xf>
    <xf numFmtId="3" fontId="3" fillId="8" borderId="14" xfId="23" applyNumberFormat="1" applyFont="1" applyFill="1" applyBorder="1" applyAlignment="1" applyProtection="1">
      <alignment horizontal="right"/>
    </xf>
    <xf numFmtId="3" fontId="3" fillId="8" borderId="2" xfId="23" applyNumberFormat="1" applyFont="1" applyFill="1" applyBorder="1" applyAlignment="1" applyProtection="1">
      <alignment horizontal="right" vertical="center" wrapText="1"/>
    </xf>
    <xf numFmtId="3" fontId="3" fillId="8" borderId="3" xfId="23" applyNumberFormat="1" applyFont="1" applyFill="1" applyBorder="1" applyAlignment="1" applyProtection="1">
      <alignment horizontal="right" vertical="center" wrapText="1"/>
    </xf>
    <xf numFmtId="0" fontId="3" fillId="8" borderId="10" xfId="23" applyFont="1" applyFill="1" applyBorder="1" applyAlignment="1" applyProtection="1">
      <alignment horizontal="center" vertical="center" wrapText="1"/>
    </xf>
    <xf numFmtId="3" fontId="3" fillId="8" borderId="4" xfId="23" applyNumberFormat="1" applyFont="1" applyFill="1" applyBorder="1" applyAlignment="1" applyProtection="1">
      <alignment horizontal="right"/>
    </xf>
    <xf numFmtId="3" fontId="3" fillId="8" borderId="0" xfId="23" applyNumberFormat="1" applyFont="1" applyFill="1" applyBorder="1" applyAlignment="1" applyProtection="1">
      <alignment horizontal="right" vertical="center" wrapText="1"/>
    </xf>
    <xf numFmtId="3" fontId="3" fillId="8" borderId="5" xfId="23" applyNumberFormat="1" applyFont="1" applyFill="1" applyBorder="1" applyAlignment="1" applyProtection="1">
      <alignment horizontal="right" vertical="center" wrapText="1"/>
    </xf>
    <xf numFmtId="0" fontId="3" fillId="8" borderId="11" xfId="23" applyFont="1" applyFill="1" applyBorder="1" applyAlignment="1" applyProtection="1">
      <alignment horizontal="center" vertical="center" wrapText="1"/>
    </xf>
    <xf numFmtId="3" fontId="3" fillId="8" borderId="6" xfId="23" applyNumberFormat="1" applyFont="1" applyFill="1" applyBorder="1" applyAlignment="1" applyProtection="1">
      <alignment horizontal="right"/>
    </xf>
    <xf numFmtId="3" fontId="3" fillId="8" borderId="7" xfId="23" applyNumberFormat="1" applyFont="1" applyFill="1" applyBorder="1" applyAlignment="1" applyProtection="1">
      <alignment horizontal="right" vertical="center" wrapText="1"/>
    </xf>
    <xf numFmtId="3" fontId="3" fillId="8" borderId="8" xfId="23" applyNumberFormat="1" applyFont="1" applyFill="1" applyBorder="1" applyAlignment="1" applyProtection="1">
      <alignment horizontal="right" vertical="center" wrapText="1"/>
    </xf>
    <xf numFmtId="0" fontId="3" fillId="2" borderId="12" xfId="23" applyFont="1" applyFill="1" applyBorder="1" applyAlignment="1" applyProtection="1">
      <alignment horizontal="centerContinuous"/>
    </xf>
    <xf numFmtId="0" fontId="3" fillId="2" borderId="15" xfId="23" applyFont="1" applyFill="1" applyBorder="1" applyAlignment="1" applyProtection="1">
      <alignment horizontal="centerContinuous"/>
    </xf>
    <xf numFmtId="0" fontId="3" fillId="2" borderId="13" xfId="23" applyFont="1" applyFill="1" applyBorder="1" applyAlignment="1" applyProtection="1">
      <alignment horizontal="centerContinuous"/>
    </xf>
    <xf numFmtId="16" fontId="3" fillId="8" borderId="4" xfId="23" quotePrefix="1" applyNumberFormat="1" applyFont="1" applyFill="1" applyBorder="1" applyAlignment="1" applyProtection="1">
      <alignment horizontal="right"/>
    </xf>
    <xf numFmtId="16" fontId="3" fillId="8" borderId="0" xfId="23" quotePrefix="1" applyNumberFormat="1" applyFont="1" applyFill="1" applyBorder="1" applyAlignment="1" applyProtection="1">
      <alignment horizontal="right"/>
    </xf>
    <xf numFmtId="16" fontId="3" fillId="8" borderId="5" xfId="23" quotePrefix="1" applyNumberFormat="1" applyFont="1" applyFill="1" applyBorder="1" applyAlignment="1" applyProtection="1">
      <alignment horizontal="right"/>
    </xf>
    <xf numFmtId="166" fontId="3" fillId="8" borderId="6" xfId="23" applyNumberFormat="1" applyFont="1" applyFill="1" applyBorder="1" applyAlignment="1" applyProtection="1">
      <alignment horizontal="right"/>
    </xf>
    <xf numFmtId="166" fontId="3" fillId="8" borderId="7" xfId="23" applyNumberFormat="1" applyFont="1" applyFill="1" applyBorder="1" applyAlignment="1" applyProtection="1">
      <alignment horizontal="right"/>
    </xf>
    <xf numFmtId="166" fontId="3" fillId="8" borderId="8" xfId="23" applyNumberFormat="1" applyFont="1" applyFill="1" applyBorder="1" applyAlignment="1" applyProtection="1">
      <alignment horizontal="right"/>
    </xf>
    <xf numFmtId="0" fontId="3" fillId="2" borderId="4" xfId="23" applyFont="1" applyFill="1" applyBorder="1" applyAlignment="1" applyProtection="1">
      <alignment horizontal="center"/>
    </xf>
    <xf numFmtId="0" fontId="3" fillId="8" borderId="0" xfId="23" applyFont="1" applyFill="1" applyBorder="1" applyAlignment="1" applyProtection="1">
      <alignment horizontal="left" vertical="center"/>
    </xf>
    <xf numFmtId="2" fontId="7" fillId="2" borderId="4" xfId="23" applyNumberFormat="1" applyFont="1" applyFill="1" applyBorder="1" applyAlignment="1" applyProtection="1">
      <alignment horizontal="center"/>
    </xf>
    <xf numFmtId="2" fontId="7" fillId="2" borderId="4" xfId="23" applyNumberFormat="1" applyFont="1" applyFill="1" applyBorder="1" applyAlignment="1" applyProtection="1">
      <alignment horizontal="right"/>
    </xf>
    <xf numFmtId="0" fontId="3" fillId="2" borderId="6" xfId="23" applyFont="1" applyFill="1" applyBorder="1" applyProtection="1"/>
    <xf numFmtId="0" fontId="3" fillId="8" borderId="7" xfId="23" applyFont="1" applyFill="1" applyBorder="1" applyAlignment="1" applyProtection="1">
      <alignment horizontal="left" vertical="center"/>
    </xf>
    <xf numFmtId="0" fontId="3" fillId="2" borderId="7" xfId="23" applyFont="1" applyFill="1" applyBorder="1" applyProtection="1"/>
    <xf numFmtId="0" fontId="3" fillId="2" borderId="8" xfId="23" applyFont="1" applyFill="1" applyBorder="1" applyProtection="1"/>
    <xf numFmtId="166" fontId="3" fillId="0" borderId="0" xfId="23" applyNumberFormat="1" applyFont="1" applyProtection="1"/>
    <xf numFmtId="3" fontId="3" fillId="0" borderId="0" xfId="23" applyNumberFormat="1" applyFont="1" applyProtection="1"/>
    <xf numFmtId="0" fontId="3" fillId="0" borderId="0" xfId="23" applyFont="1" applyAlignment="1" applyProtection="1">
      <alignment wrapText="1"/>
    </xf>
    <xf numFmtId="3" fontId="25" fillId="0" borderId="0" xfId="23" applyNumberFormat="1" applyFont="1" applyProtection="1"/>
    <xf numFmtId="0" fontId="10" fillId="0" borderId="0" xfId="15" applyFont="1" applyProtection="1">
      <protection locked="0"/>
    </xf>
    <xf numFmtId="0" fontId="10" fillId="0" borderId="0" xfId="15" applyFont="1" applyProtection="1"/>
    <xf numFmtId="0" fontId="6" fillId="8" borderId="4" xfId="2" applyFont="1" applyFill="1" applyBorder="1" applyAlignment="1" applyProtection="1">
      <alignment horizontal="center"/>
    </xf>
    <xf numFmtId="0" fontId="34" fillId="2" borderId="0" xfId="2" applyFont="1" applyFill="1" applyBorder="1" applyProtection="1"/>
    <xf numFmtId="2" fontId="7" fillId="8" borderId="4" xfId="2" applyNumberFormat="1" applyFont="1" applyFill="1" applyBorder="1" applyAlignment="1" applyProtection="1">
      <alignment horizontal="center"/>
    </xf>
    <xf numFmtId="0" fontId="10" fillId="2" borderId="4" xfId="15" applyFont="1" applyFill="1" applyBorder="1" applyProtection="1"/>
    <xf numFmtId="0" fontId="10" fillId="2" borderId="0" xfId="15" applyFont="1" applyFill="1" applyBorder="1" applyProtection="1"/>
    <xf numFmtId="0" fontId="8" fillId="2" borderId="12" xfId="2" quotePrefix="1" applyFont="1" applyFill="1" applyBorder="1" applyAlignment="1" applyProtection="1">
      <alignment horizontal="left" indent="1"/>
    </xf>
    <xf numFmtId="0" fontId="8" fillId="2" borderId="13" xfId="2" quotePrefix="1" applyFont="1" applyFill="1" applyBorder="1" applyAlignment="1" applyProtection="1">
      <alignment horizontal="centerContinuous"/>
    </xf>
    <xf numFmtId="0" fontId="35" fillId="2" borderId="5" xfId="15" applyFont="1" applyFill="1" applyBorder="1" applyAlignment="1" applyProtection="1">
      <alignment horizontal="centerContinuous"/>
    </xf>
    <xf numFmtId="0" fontId="8" fillId="2" borderId="14" xfId="2" quotePrefix="1" applyFont="1" applyFill="1" applyBorder="1" applyAlignment="1" applyProtection="1">
      <alignment horizontal="left" indent="1"/>
    </xf>
    <xf numFmtId="6" fontId="8" fillId="2" borderId="3" xfId="2" applyNumberFormat="1" applyFont="1" applyFill="1" applyBorder="1" applyAlignment="1" applyProtection="1">
      <alignment horizontal="right"/>
    </xf>
    <xf numFmtId="187" fontId="36" fillId="2" borderId="0" xfId="2" applyNumberFormat="1" applyFont="1" applyFill="1" applyBorder="1" applyAlignment="1" applyProtection="1">
      <alignment horizontal="center"/>
    </xf>
    <xf numFmtId="0" fontId="36" fillId="2" borderId="5" xfId="2" applyFont="1" applyFill="1" applyBorder="1" applyAlignment="1" applyProtection="1">
      <alignment horizontal="center"/>
    </xf>
    <xf numFmtId="0" fontId="8" fillId="2" borderId="4" xfId="2" applyFont="1" applyFill="1" applyBorder="1" applyAlignment="1" applyProtection="1">
      <alignment horizontal="left" indent="1"/>
    </xf>
    <xf numFmtId="6" fontId="8" fillId="2" borderId="5" xfId="2" applyNumberFormat="1" applyFont="1" applyFill="1" applyBorder="1" applyAlignment="1" applyProtection="1">
      <alignment horizontal="right"/>
    </xf>
    <xf numFmtId="3" fontId="8" fillId="2" borderId="5" xfId="2" applyNumberFormat="1" applyFont="1" applyFill="1" applyBorder="1" applyAlignment="1" applyProtection="1">
      <alignment horizontal="center"/>
    </xf>
    <xf numFmtId="0" fontId="8" fillId="2" borderId="6" xfId="2" quotePrefix="1" applyFont="1" applyFill="1" applyBorder="1" applyAlignment="1" applyProtection="1">
      <alignment horizontal="left" indent="1"/>
    </xf>
    <xf numFmtId="6" fontId="8" fillId="2" borderId="8" xfId="2" applyNumberFormat="1" applyFont="1" applyFill="1" applyBorder="1" applyAlignment="1" applyProtection="1">
      <alignment horizontal="right"/>
    </xf>
    <xf numFmtId="0" fontId="36" fillId="2" borderId="0" xfId="2" quotePrefix="1" applyFont="1" applyFill="1" applyBorder="1" applyAlignment="1" applyProtection="1">
      <alignment horizontal="center"/>
    </xf>
    <xf numFmtId="0" fontId="8" fillId="2" borderId="5" xfId="2" quotePrefix="1" applyFont="1" applyFill="1" applyBorder="1" applyAlignment="1" applyProtection="1">
      <alignment horizontal="right"/>
    </xf>
    <xf numFmtId="166" fontId="8" fillId="2" borderId="0" xfId="2" applyNumberFormat="1" applyFont="1" applyFill="1" applyBorder="1" applyAlignment="1" applyProtection="1">
      <alignment horizontal="center"/>
    </xf>
    <xf numFmtId="0" fontId="8" fillId="2" borderId="0" xfId="2" quotePrefix="1" applyFont="1" applyFill="1" applyBorder="1" applyAlignment="1" applyProtection="1">
      <alignment horizontal="left"/>
    </xf>
    <xf numFmtId="0" fontId="10" fillId="2" borderId="5" xfId="15" applyFont="1" applyFill="1" applyBorder="1" applyProtection="1"/>
    <xf numFmtId="43" fontId="7" fillId="2" borderId="4" xfId="7" applyFont="1" applyFill="1" applyBorder="1" applyProtection="1"/>
    <xf numFmtId="43" fontId="7" fillId="2" borderId="6" xfId="7" applyFont="1" applyFill="1" applyBorder="1" applyProtection="1"/>
    <xf numFmtId="0" fontId="8" fillId="2" borderId="7" xfId="2" quotePrefix="1" applyFont="1" applyFill="1" applyBorder="1" applyAlignment="1" applyProtection="1">
      <alignment horizontal="left"/>
    </xf>
    <xf numFmtId="0" fontId="10" fillId="2" borderId="7" xfId="15" applyFont="1" applyFill="1" applyBorder="1" applyProtection="1"/>
    <xf numFmtId="0" fontId="10" fillId="2" borderId="8" xfId="15" applyFont="1" applyFill="1" applyBorder="1" applyProtection="1"/>
    <xf numFmtId="0" fontId="10" fillId="0" borderId="0" xfId="24" applyFont="1" applyProtection="1">
      <protection locked="0"/>
    </xf>
    <xf numFmtId="0" fontId="10" fillId="0" borderId="0" xfId="24" applyFont="1" applyProtection="1"/>
    <xf numFmtId="0" fontId="10" fillId="2" borderId="4" xfId="24" applyFont="1" applyFill="1" applyBorder="1" applyProtection="1"/>
    <xf numFmtId="0" fontId="10" fillId="2" borderId="0" xfId="24" applyFont="1" applyFill="1" applyBorder="1" applyProtection="1"/>
    <xf numFmtId="0" fontId="8" fillId="2" borderId="0" xfId="2" quotePrefix="1" applyFont="1" applyFill="1" applyBorder="1" applyAlignment="1" applyProtection="1">
      <alignment horizontal="right"/>
    </xf>
    <xf numFmtId="0" fontId="8" fillId="2" borderId="0" xfId="2" applyFont="1" applyFill="1" applyBorder="1" applyAlignment="1" applyProtection="1">
      <alignment horizontal="center"/>
    </xf>
    <xf numFmtId="0" fontId="8" fillId="2" borderId="0" xfId="2" quotePrefix="1" applyFont="1" applyFill="1" applyBorder="1" applyAlignment="1" applyProtection="1"/>
    <xf numFmtId="0" fontId="36" fillId="2" borderId="0" xfId="2" quotePrefix="1" applyFont="1" applyFill="1" applyBorder="1" applyAlignment="1" applyProtection="1">
      <alignment horizontal="centerContinuous"/>
    </xf>
    <xf numFmtId="0" fontId="35" fillId="2" borderId="0" xfId="24" applyFont="1" applyFill="1" applyBorder="1" applyAlignment="1" applyProtection="1">
      <alignment horizontal="centerContinuous"/>
    </xf>
    <xf numFmtId="0" fontId="8" fillId="2" borderId="0" xfId="2" applyFont="1" applyFill="1" applyBorder="1" applyAlignment="1" applyProtection="1">
      <alignment horizontal="left"/>
    </xf>
    <xf numFmtId="2" fontId="7" fillId="8" borderId="4" xfId="4" applyNumberFormat="1" applyFont="1" applyFill="1" applyBorder="1" applyAlignment="1" applyProtection="1">
      <alignment horizontal="center"/>
    </xf>
    <xf numFmtId="0" fontId="10" fillId="8" borderId="0" xfId="4" applyFont="1" applyFill="1" applyBorder="1" applyProtection="1"/>
    <xf numFmtId="0" fontId="10" fillId="2" borderId="7" xfId="24" applyFont="1" applyFill="1" applyBorder="1" applyProtection="1"/>
    <xf numFmtId="0" fontId="10" fillId="2" borderId="8" xfId="24" applyFont="1" applyFill="1" applyBorder="1" applyProtection="1"/>
    <xf numFmtId="0" fontId="9" fillId="0" borderId="0" xfId="1" applyFont="1" applyProtection="1"/>
    <xf numFmtId="0" fontId="9" fillId="3" borderId="0" xfId="1" applyFont="1" applyFill="1" applyBorder="1" applyAlignment="1" applyProtection="1">
      <alignment vertical="center"/>
    </xf>
    <xf numFmtId="2" fontId="37" fillId="3" borderId="4" xfId="1" applyNumberFormat="1" applyFont="1" applyFill="1" applyBorder="1" applyAlignment="1" applyProtection="1">
      <alignment horizontal="center"/>
    </xf>
    <xf numFmtId="0" fontId="9" fillId="0" borderId="0" xfId="1" applyFont="1" applyProtection="1">
      <protection locked="0"/>
    </xf>
    <xf numFmtId="173" fontId="10" fillId="3" borderId="0" xfId="1" applyNumberFormat="1" applyFont="1" applyFill="1" applyBorder="1" applyAlignment="1" applyProtection="1">
      <alignment horizontal="center" wrapText="1"/>
    </xf>
    <xf numFmtId="173" fontId="10" fillId="3" borderId="13" xfId="1" applyNumberFormat="1" applyFont="1" applyFill="1" applyBorder="1" applyAlignment="1" applyProtection="1">
      <alignment horizontal="center" wrapText="1"/>
    </xf>
    <xf numFmtId="0" fontId="3" fillId="3" borderId="1" xfId="1" applyFont="1" applyFill="1" applyBorder="1" applyProtection="1"/>
    <xf numFmtId="0" fontId="3" fillId="8" borderId="1" xfId="1" applyFont="1" applyFill="1" applyBorder="1" applyAlignment="1" applyProtection="1">
      <alignment horizontal="left"/>
    </xf>
    <xf numFmtId="3" fontId="3" fillId="3" borderId="1" xfId="1" applyNumberFormat="1" applyFont="1" applyFill="1" applyBorder="1" applyAlignment="1" applyProtection="1">
      <alignment horizontal="right"/>
    </xf>
    <xf numFmtId="0" fontId="24" fillId="3" borderId="0" xfId="1" applyFont="1" applyFill="1" applyBorder="1" applyAlignment="1" applyProtection="1">
      <alignment vertical="center" wrapText="1"/>
    </xf>
    <xf numFmtId="3" fontId="10" fillId="3" borderId="0" xfId="1" applyNumberFormat="1" applyFont="1" applyFill="1" applyBorder="1" applyAlignment="1" applyProtection="1">
      <alignment horizontal="center" wrapText="1"/>
    </xf>
    <xf numFmtId="3" fontId="10" fillId="3" borderId="8" xfId="1" applyNumberFormat="1" applyFont="1" applyFill="1" applyBorder="1" applyAlignment="1" applyProtection="1">
      <alignment horizontal="right" wrapText="1"/>
    </xf>
    <xf numFmtId="3" fontId="10" fillId="3" borderId="7" xfId="1" applyNumberFormat="1" applyFont="1" applyFill="1" applyBorder="1" applyAlignment="1" applyProtection="1">
      <alignment horizontal="right" wrapText="1"/>
    </xf>
    <xf numFmtId="0" fontId="10" fillId="3" borderId="3" xfId="1" applyFont="1" applyFill="1" applyBorder="1" applyAlignment="1" applyProtection="1">
      <alignment horizontal="right" wrapText="1"/>
    </xf>
    <xf numFmtId="3" fontId="10" fillId="3" borderId="2" xfId="1" applyNumberFormat="1" applyFont="1" applyFill="1" applyBorder="1" applyAlignment="1" applyProtection="1">
      <alignment horizontal="right" wrapText="1"/>
    </xf>
    <xf numFmtId="0" fontId="10" fillId="3" borderId="14" xfId="1" applyFont="1" applyFill="1" applyBorder="1" applyAlignment="1" applyProtection="1">
      <alignment horizontal="center" wrapText="1"/>
    </xf>
    <xf numFmtId="0" fontId="10" fillId="3" borderId="13" xfId="1" applyFont="1" applyFill="1" applyBorder="1" applyAlignment="1" applyProtection="1">
      <alignment horizontal="right" wrapText="1"/>
    </xf>
    <xf numFmtId="0" fontId="10" fillId="3" borderId="15" xfId="1" applyFont="1" applyFill="1" applyBorder="1" applyAlignment="1" applyProtection="1">
      <alignment horizontal="right" wrapText="1"/>
    </xf>
    <xf numFmtId="0" fontId="3" fillId="0" borderId="0" xfId="1" applyFont="1" applyFill="1" applyProtection="1"/>
    <xf numFmtId="0" fontId="8" fillId="0" borderId="6" xfId="9" applyFont="1" applyBorder="1" applyProtection="1"/>
    <xf numFmtId="0" fontId="8" fillId="0" borderId="4" xfId="9" applyFont="1" applyBorder="1" applyProtection="1"/>
    <xf numFmtId="3" fontId="8" fillId="0" borderId="0" xfId="9" applyNumberFormat="1" applyFont="1" applyBorder="1" applyProtection="1"/>
    <xf numFmtId="0" fontId="8" fillId="0" borderId="4" xfId="9" applyFont="1" applyBorder="1" applyAlignment="1" applyProtection="1">
      <alignment horizontal="center"/>
    </xf>
    <xf numFmtId="0" fontId="8" fillId="0" borderId="14" xfId="9" applyFont="1" applyBorder="1" applyProtection="1"/>
    <xf numFmtId="3" fontId="8" fillId="2" borderId="7" xfId="4" applyNumberFormat="1" applyFont="1" applyFill="1" applyBorder="1" applyProtection="1"/>
    <xf numFmtId="3" fontId="8" fillId="2" borderId="6" xfId="4" applyNumberFormat="1" applyFont="1" applyFill="1" applyBorder="1" applyProtection="1"/>
    <xf numFmtId="2" fontId="7" fillId="2" borderId="4" xfId="4" applyNumberFormat="1" applyFont="1" applyFill="1" applyBorder="1" applyAlignment="1" applyProtection="1">
      <alignment horizontal="center"/>
    </xf>
    <xf numFmtId="0" fontId="8" fillId="2" borderId="4" xfId="4" applyFont="1" applyFill="1" applyBorder="1" applyProtection="1"/>
    <xf numFmtId="0" fontId="8" fillId="2" borderId="0" xfId="4" applyFont="1" applyFill="1" applyBorder="1" applyAlignment="1" applyProtection="1">
      <alignment horizontal="left" indent="2"/>
    </xf>
    <xf numFmtId="0" fontId="8" fillId="2" borderId="12" xfId="4" applyFont="1" applyFill="1" applyBorder="1" applyProtection="1"/>
    <xf numFmtId="5" fontId="8" fillId="2" borderId="1" xfId="7" applyNumberFormat="1" applyFont="1" applyFill="1" applyBorder="1" applyProtection="1"/>
    <xf numFmtId="164" fontId="8" fillId="2" borderId="0" xfId="8" applyNumberFormat="1" applyFont="1" applyFill="1" applyBorder="1" applyAlignment="1" applyProtection="1">
      <alignment horizontal="center"/>
    </xf>
    <xf numFmtId="164" fontId="8" fillId="2" borderId="8" xfId="8" applyNumberFormat="1" applyFont="1" applyFill="1" applyBorder="1" applyAlignment="1" applyProtection="1">
      <alignment horizontal="center"/>
    </xf>
    <xf numFmtId="0" fontId="8" fillId="2" borderId="6" xfId="8" applyFont="1" applyFill="1" applyBorder="1" applyAlignment="1" applyProtection="1">
      <alignment horizontal="center"/>
    </xf>
    <xf numFmtId="164" fontId="8" fillId="2" borderId="5" xfId="8" applyNumberFormat="1" applyFont="1" applyFill="1" applyBorder="1" applyAlignment="1" applyProtection="1">
      <alignment horizontal="center"/>
    </xf>
    <xf numFmtId="0" fontId="8" fillId="2" borderId="4" xfId="8" applyFont="1" applyFill="1" applyBorder="1" applyAlignment="1" applyProtection="1">
      <alignment horizontal="center"/>
    </xf>
    <xf numFmtId="164" fontId="8" fillId="2" borderId="13" xfId="8" applyNumberFormat="1" applyFont="1" applyFill="1" applyBorder="1" applyAlignment="1" applyProtection="1">
      <alignment horizontal="center"/>
    </xf>
    <xf numFmtId="0" fontId="8" fillId="2" borderId="12" xfId="8" applyFont="1" applyFill="1" applyBorder="1" applyAlignment="1" applyProtection="1">
      <alignment horizontal="center"/>
    </xf>
    <xf numFmtId="14" fontId="8" fillId="2" borderId="0" xfId="8" applyNumberFormat="1" applyFont="1" applyFill="1" applyBorder="1" applyProtection="1"/>
    <xf numFmtId="0" fontId="3" fillId="2" borderId="0" xfId="4" applyFont="1" applyFill="1" applyBorder="1" applyProtection="1"/>
    <xf numFmtId="0" fontId="8" fillId="2" borderId="2" xfId="4" applyFont="1" applyFill="1" applyBorder="1" applyProtection="1"/>
    <xf numFmtId="0" fontId="6" fillId="2" borderId="14" xfId="4" applyFont="1" applyFill="1" applyBorder="1" applyAlignment="1" applyProtection="1">
      <alignment horizontal="center"/>
    </xf>
    <xf numFmtId="0" fontId="8" fillId="2" borderId="3" xfId="4" applyFont="1" applyFill="1" applyBorder="1" applyProtection="1"/>
    <xf numFmtId="166" fontId="8" fillId="4" borderId="0" xfId="9" applyNumberFormat="1" applyFont="1" applyFill="1" applyProtection="1"/>
    <xf numFmtId="0" fontId="8" fillId="4" borderId="0" xfId="9" applyFont="1" applyFill="1" applyProtection="1"/>
    <xf numFmtId="166" fontId="8" fillId="0" borderId="0" xfId="9" applyNumberFormat="1" applyFont="1" applyProtection="1"/>
    <xf numFmtId="164" fontId="8" fillId="2" borderId="13" xfId="8" applyNumberFormat="1" applyFont="1" applyFill="1" applyBorder="1" applyAlignment="1" applyProtection="1">
      <alignment horizontal="center" wrapText="1"/>
    </xf>
    <xf numFmtId="0" fontId="8" fillId="2" borderId="12" xfId="8" applyFont="1" applyFill="1" applyBorder="1" applyAlignment="1" applyProtection="1">
      <alignment horizontal="center" wrapText="1"/>
    </xf>
    <xf numFmtId="0" fontId="8" fillId="2" borderId="4" xfId="4" applyFont="1" applyFill="1" applyBorder="1" applyAlignment="1" applyProtection="1">
      <alignment wrapText="1"/>
    </xf>
    <xf numFmtId="0" fontId="8" fillId="0" borderId="13" xfId="9" applyFont="1" applyBorder="1" applyProtection="1"/>
    <xf numFmtId="0" fontId="8" fillId="0" borderId="12" xfId="9" applyFont="1" applyBorder="1" applyProtection="1"/>
    <xf numFmtId="0" fontId="38" fillId="0" borderId="0" xfId="2" applyFont="1" applyProtection="1">
      <protection locked="0"/>
    </xf>
    <xf numFmtId="0" fontId="38" fillId="0" borderId="0" xfId="2" applyFont="1" applyProtection="1"/>
    <xf numFmtId="0" fontId="39" fillId="0" borderId="0" xfId="2" applyFont="1" applyAlignment="1" applyProtection="1">
      <alignment horizontal="center"/>
    </xf>
    <xf numFmtId="37" fontId="38" fillId="0" borderId="0" xfId="6" applyNumberFormat="1" applyFont="1" applyProtection="1"/>
    <xf numFmtId="188" fontId="38" fillId="0" borderId="0" xfId="6" applyNumberFormat="1" applyFont="1" applyProtection="1"/>
    <xf numFmtId="164" fontId="38" fillId="0" borderId="0" xfId="6" applyNumberFormat="1" applyFont="1" applyProtection="1"/>
    <xf numFmtId="37" fontId="38" fillId="0" borderId="0" xfId="2" applyNumberFormat="1" applyFont="1" applyProtection="1"/>
    <xf numFmtId="0" fontId="38" fillId="0" borderId="0" xfId="2" applyFont="1" applyAlignment="1" applyProtection="1">
      <alignment horizontal="center"/>
    </xf>
    <xf numFmtId="0" fontId="38" fillId="0" borderId="17" xfId="2" applyFont="1" applyBorder="1" applyAlignment="1" applyProtection="1">
      <alignment horizontal="center"/>
    </xf>
    <xf numFmtId="37" fontId="38" fillId="0" borderId="0" xfId="2" applyNumberFormat="1" applyFont="1" applyBorder="1" applyAlignment="1" applyProtection="1">
      <alignment horizontal="center"/>
    </xf>
    <xf numFmtId="188" fontId="38" fillId="0" borderId="0" xfId="2" applyNumberFormat="1" applyFont="1" applyProtection="1"/>
    <xf numFmtId="0" fontId="38" fillId="0" borderId="0" xfId="2" applyFont="1" applyAlignment="1" applyProtection="1">
      <alignment horizontal="right"/>
    </xf>
    <xf numFmtId="0" fontId="8" fillId="9" borderId="7" xfId="2" applyFont="1" applyFill="1" applyBorder="1" applyProtection="1"/>
    <xf numFmtId="2" fontId="7" fillId="9" borderId="6" xfId="2" applyNumberFormat="1" applyFont="1" applyFill="1" applyBorder="1" applyProtection="1"/>
    <xf numFmtId="0" fontId="8" fillId="9" borderId="0" xfId="2" applyFont="1" applyFill="1" applyBorder="1" applyProtection="1"/>
    <xf numFmtId="2" fontId="7" fillId="9" borderId="4" xfId="2" applyNumberFormat="1" applyFont="1" applyFill="1" applyBorder="1" applyProtection="1"/>
    <xf numFmtId="2" fontId="7" fillId="9" borderId="4" xfId="2" applyNumberFormat="1" applyFont="1" applyFill="1" applyBorder="1" applyAlignment="1" applyProtection="1">
      <alignment horizontal="center"/>
    </xf>
    <xf numFmtId="0" fontId="8" fillId="9" borderId="4" xfId="2" applyFont="1" applyFill="1" applyBorder="1" applyAlignment="1" applyProtection="1">
      <alignment horizontal="center"/>
    </xf>
    <xf numFmtId="0" fontId="8" fillId="9" borderId="4" xfId="2" applyFont="1" applyFill="1" applyBorder="1" applyProtection="1"/>
    <xf numFmtId="0" fontId="3" fillId="3" borderId="0" xfId="2" applyFont="1" applyFill="1" applyBorder="1" applyAlignment="1" applyProtection="1">
      <alignment horizontal="left"/>
    </xf>
    <xf numFmtId="0" fontId="8" fillId="2" borderId="0" xfId="2" applyFont="1" applyFill="1" applyProtection="1"/>
    <xf numFmtId="3" fontId="8" fillId="9" borderId="8" xfId="2" applyNumberFormat="1" applyFont="1" applyFill="1" applyBorder="1" applyAlignment="1" applyProtection="1">
      <alignment horizontal="center"/>
    </xf>
    <xf numFmtId="3" fontId="8" fillId="9" borderId="7" xfId="2" applyNumberFormat="1" applyFont="1" applyFill="1" applyBorder="1" applyAlignment="1" applyProtection="1">
      <alignment horizontal="center"/>
    </xf>
    <xf numFmtId="3" fontId="8" fillId="9" borderId="6" xfId="2" applyNumberFormat="1" applyFont="1" applyFill="1" applyBorder="1" applyAlignment="1" applyProtection="1">
      <alignment horizontal="center"/>
    </xf>
    <xf numFmtId="0" fontId="8" fillId="9" borderId="11" xfId="2" applyFont="1" applyFill="1" applyBorder="1" applyAlignment="1" applyProtection="1">
      <alignment horizontal="center"/>
    </xf>
    <xf numFmtId="3" fontId="8" fillId="9" borderId="5" xfId="2" applyNumberFormat="1" applyFont="1" applyFill="1" applyBorder="1" applyAlignment="1" applyProtection="1">
      <alignment horizontal="center"/>
    </xf>
    <xf numFmtId="3" fontId="8" fillId="9" borderId="0" xfId="2" applyNumberFormat="1" applyFont="1" applyFill="1" applyBorder="1" applyAlignment="1" applyProtection="1">
      <alignment horizontal="center"/>
    </xf>
    <xf numFmtId="3" fontId="8" fillId="9" borderId="4" xfId="2" applyNumberFormat="1" applyFont="1" applyFill="1" applyBorder="1" applyAlignment="1" applyProtection="1">
      <alignment horizontal="center"/>
    </xf>
    <xf numFmtId="0" fontId="8" fillId="9" borderId="10" xfId="2" applyFont="1" applyFill="1" applyBorder="1" applyAlignment="1" applyProtection="1">
      <alignment horizontal="center"/>
    </xf>
    <xf numFmtId="3" fontId="8" fillId="9" borderId="3" xfId="2" applyNumberFormat="1" applyFont="1" applyFill="1" applyBorder="1" applyAlignment="1" applyProtection="1">
      <alignment horizontal="center"/>
    </xf>
    <xf numFmtId="3" fontId="8" fillId="9" borderId="2" xfId="2" applyNumberFormat="1" applyFont="1" applyFill="1" applyBorder="1" applyAlignment="1" applyProtection="1">
      <alignment horizontal="center"/>
    </xf>
    <xf numFmtId="3" fontId="8" fillId="9" borderId="14" xfId="2" applyNumberFormat="1" applyFont="1" applyFill="1" applyBorder="1" applyAlignment="1" applyProtection="1">
      <alignment horizontal="center"/>
    </xf>
    <xf numFmtId="0" fontId="8" fillId="9" borderId="9" xfId="2" applyFont="1" applyFill="1" applyBorder="1" applyAlignment="1" applyProtection="1">
      <alignment horizontal="center"/>
    </xf>
    <xf numFmtId="0" fontId="8" fillId="9" borderId="8" xfId="2" applyFont="1" applyFill="1" applyBorder="1" applyAlignment="1" applyProtection="1">
      <alignment horizontal="center"/>
    </xf>
    <xf numFmtId="0" fontId="8" fillId="9" borderId="7" xfId="2" quotePrefix="1" applyFont="1" applyFill="1" applyBorder="1" applyAlignment="1" applyProtection="1">
      <alignment horizontal="center"/>
    </xf>
    <xf numFmtId="0" fontId="8" fillId="9" borderId="7" xfId="2" applyFont="1" applyFill="1" applyBorder="1" applyAlignment="1" applyProtection="1">
      <alignment horizontal="center"/>
    </xf>
    <xf numFmtId="0" fontId="8" fillId="9" borderId="6" xfId="2" applyFont="1" applyFill="1" applyBorder="1" applyAlignment="1" applyProtection="1">
      <alignment horizontal="center"/>
    </xf>
    <xf numFmtId="0" fontId="8" fillId="9" borderId="5" xfId="2" applyFont="1" applyFill="1" applyBorder="1" applyAlignment="1" applyProtection="1">
      <alignment horizontal="center"/>
    </xf>
    <xf numFmtId="0" fontId="8" fillId="9" borderId="0" xfId="2" applyFont="1" applyFill="1" applyBorder="1" applyAlignment="1" applyProtection="1">
      <alignment horizontal="center"/>
    </xf>
    <xf numFmtId="0" fontId="8" fillId="9" borderId="2" xfId="2" applyFont="1" applyFill="1" applyBorder="1" applyAlignment="1" applyProtection="1">
      <alignment horizontal="center"/>
    </xf>
    <xf numFmtId="0" fontId="8" fillId="9" borderId="14" xfId="2" applyFont="1" applyFill="1" applyBorder="1" applyProtection="1"/>
    <xf numFmtId="3" fontId="8" fillId="2" borderId="0" xfId="2" applyNumberFormat="1" applyFont="1" applyFill="1" applyBorder="1" applyAlignment="1" applyProtection="1">
      <alignment horizontal="center"/>
    </xf>
    <xf numFmtId="4" fontId="10" fillId="2" borderId="8" xfId="15" applyNumberFormat="1" applyFont="1" applyFill="1" applyBorder="1" applyAlignment="1" applyProtection="1">
      <alignment horizontal="right"/>
    </xf>
    <xf numFmtId="4" fontId="10" fillId="2" borderId="7" xfId="15" applyNumberFormat="1" applyFont="1" applyFill="1" applyBorder="1" applyAlignment="1" applyProtection="1">
      <alignment horizontal="right"/>
    </xf>
    <xf numFmtId="4" fontId="10" fillId="2" borderId="6" xfId="15" applyNumberFormat="1" applyFont="1" applyFill="1" applyBorder="1" applyAlignment="1" applyProtection="1">
      <alignment horizontal="right"/>
    </xf>
    <xf numFmtId="0" fontId="10" fillId="2" borderId="11" xfId="15" applyFont="1" applyFill="1" applyBorder="1" applyAlignment="1" applyProtection="1">
      <alignment horizontal="center"/>
    </xf>
    <xf numFmtId="4" fontId="10" fillId="2" borderId="5" xfId="15" applyNumberFormat="1" applyFont="1" applyFill="1" applyBorder="1" applyAlignment="1" applyProtection="1">
      <alignment horizontal="right"/>
    </xf>
    <xf numFmtId="4" fontId="10" fillId="2" borderId="0" xfId="15" applyNumberFormat="1" applyFont="1" applyFill="1" applyBorder="1" applyAlignment="1" applyProtection="1">
      <alignment horizontal="right"/>
    </xf>
    <xf numFmtId="4" fontId="10" fillId="2" borderId="4" xfId="15" applyNumberFormat="1" applyFont="1" applyFill="1" applyBorder="1" applyAlignment="1" applyProtection="1">
      <alignment horizontal="right"/>
    </xf>
    <xf numFmtId="0" fontId="10" fillId="2" borderId="10" xfId="15" applyFont="1" applyFill="1" applyBorder="1" applyAlignment="1" applyProtection="1">
      <alignment horizontal="center"/>
    </xf>
    <xf numFmtId="4" fontId="10" fillId="2" borderId="3" xfId="15" applyNumberFormat="1" applyFont="1" applyFill="1" applyBorder="1" applyAlignment="1" applyProtection="1">
      <alignment horizontal="right"/>
    </xf>
    <xf numFmtId="4" fontId="10" fillId="2" borderId="2" xfId="15" applyNumberFormat="1" applyFont="1" applyFill="1" applyBorder="1" applyAlignment="1" applyProtection="1">
      <alignment horizontal="right"/>
    </xf>
    <xf numFmtId="4" fontId="10" fillId="2" borderId="14" xfId="15" applyNumberFormat="1" applyFont="1" applyFill="1" applyBorder="1" applyAlignment="1" applyProtection="1">
      <alignment horizontal="right"/>
    </xf>
    <xf numFmtId="0" fontId="10" fillId="2" borderId="9" xfId="15" applyFont="1" applyFill="1" applyBorder="1" applyAlignment="1" applyProtection="1">
      <alignment horizontal="center"/>
    </xf>
    <xf numFmtId="0" fontId="36" fillId="9" borderId="0" xfId="2" applyFont="1" applyFill="1" applyBorder="1" applyAlignment="1" applyProtection="1">
      <alignment horizontal="center"/>
    </xf>
    <xf numFmtId="0" fontId="10" fillId="2" borderId="8" xfId="15" applyFont="1" applyFill="1" applyBorder="1" applyAlignment="1" applyProtection="1">
      <alignment horizontal="right"/>
    </xf>
    <xf numFmtId="0" fontId="10" fillId="2" borderId="7" xfId="15" applyFont="1" applyFill="1" applyBorder="1" applyAlignment="1" applyProtection="1">
      <alignment horizontal="right"/>
    </xf>
    <xf numFmtId="0" fontId="10" fillId="2" borderId="6" xfId="15" applyFont="1" applyFill="1" applyBorder="1" applyAlignment="1" applyProtection="1">
      <alignment horizontal="right"/>
    </xf>
    <xf numFmtId="0" fontId="10" fillId="2" borderId="11" xfId="15" quotePrefix="1" applyFont="1" applyFill="1" applyBorder="1" applyAlignment="1" applyProtection="1">
      <alignment horizontal="center" wrapText="1"/>
    </xf>
    <xf numFmtId="0" fontId="8" fillId="9" borderId="0" xfId="2" applyFont="1" applyFill="1" applyBorder="1" applyAlignment="1" applyProtection="1">
      <alignment horizontal="centerContinuous"/>
    </xf>
    <xf numFmtId="3" fontId="35" fillId="9" borderId="0" xfId="2" applyNumberFormat="1" applyFont="1" applyFill="1" applyBorder="1" applyAlignment="1" applyProtection="1">
      <alignment horizontal="centerContinuous"/>
    </xf>
    <xf numFmtId="0" fontId="10" fillId="2" borderId="3" xfId="15" applyFont="1" applyFill="1" applyBorder="1" applyAlignment="1" applyProtection="1">
      <alignment horizontal="centerContinuous"/>
    </xf>
    <xf numFmtId="0" fontId="10" fillId="2" borderId="2" xfId="15" applyFont="1" applyFill="1" applyBorder="1" applyAlignment="1" applyProtection="1">
      <alignment horizontal="centerContinuous"/>
    </xf>
    <xf numFmtId="0" fontId="10" fillId="2" borderId="14" xfId="15" quotePrefix="1" applyFont="1" applyFill="1" applyBorder="1" applyAlignment="1" applyProtection="1">
      <alignment horizontal="centerContinuous"/>
    </xf>
    <xf numFmtId="0" fontId="10" fillId="2" borderId="9" xfId="15" quotePrefix="1" applyFont="1" applyFill="1" applyBorder="1" applyAlignment="1" applyProtection="1">
      <alignment horizontal="center" wrapText="1"/>
    </xf>
    <xf numFmtId="3" fontId="10" fillId="2" borderId="8" xfId="15" applyNumberFormat="1" applyFont="1" applyFill="1" applyBorder="1" applyAlignment="1" applyProtection="1">
      <alignment horizontal="right"/>
    </xf>
    <xf numFmtId="3" fontId="10" fillId="2" borderId="7" xfId="15" applyNumberFormat="1" applyFont="1" applyFill="1" applyBorder="1" applyAlignment="1" applyProtection="1">
      <alignment horizontal="right"/>
    </xf>
    <xf numFmtId="3" fontId="10" fillId="2" borderId="6" xfId="15" applyNumberFormat="1" applyFont="1" applyFill="1" applyBorder="1" applyAlignment="1" applyProtection="1">
      <alignment horizontal="right"/>
    </xf>
    <xf numFmtId="3" fontId="10" fillId="2" borderId="5" xfId="15" applyNumberFormat="1" applyFont="1" applyFill="1" applyBorder="1" applyAlignment="1" applyProtection="1">
      <alignment horizontal="right"/>
    </xf>
    <xf numFmtId="3" fontId="10" fillId="2" borderId="0" xfId="15" applyNumberFormat="1" applyFont="1" applyFill="1" applyBorder="1" applyAlignment="1" applyProtection="1">
      <alignment horizontal="right"/>
    </xf>
    <xf numFmtId="3" fontId="10" fillId="2" borderId="4" xfId="15" applyNumberFormat="1" applyFont="1" applyFill="1" applyBorder="1" applyAlignment="1" applyProtection="1">
      <alignment horizontal="right"/>
    </xf>
    <xf numFmtId="3" fontId="10" fillId="2" borderId="3" xfId="15" applyNumberFormat="1" applyFont="1" applyFill="1" applyBorder="1" applyAlignment="1" applyProtection="1">
      <alignment horizontal="right"/>
    </xf>
    <xf numFmtId="3" fontId="10" fillId="2" borderId="2" xfId="15" applyNumberFormat="1" applyFont="1" applyFill="1" applyBorder="1" applyAlignment="1" applyProtection="1">
      <alignment horizontal="right"/>
    </xf>
    <xf numFmtId="3" fontId="10" fillId="2" borderId="14" xfId="15" applyNumberFormat="1" applyFont="1" applyFill="1" applyBorder="1" applyAlignment="1" applyProtection="1">
      <alignment horizontal="right"/>
    </xf>
    <xf numFmtId="0" fontId="8" fillId="0" borderId="0" xfId="2" applyFont="1" applyFill="1" applyProtection="1"/>
    <xf numFmtId="0" fontId="3" fillId="9" borderId="0" xfId="2" applyFont="1" applyFill="1" applyBorder="1" applyProtection="1"/>
    <xf numFmtId="0" fontId="6" fillId="9" borderId="4" xfId="2" applyFont="1" applyFill="1" applyBorder="1" applyAlignment="1" applyProtection="1">
      <alignment horizontal="center"/>
    </xf>
    <xf numFmtId="0" fontId="8" fillId="9" borderId="2" xfId="2" applyFont="1" applyFill="1" applyBorder="1" applyProtection="1"/>
    <xf numFmtId="0" fontId="8" fillId="4" borderId="0" xfId="2" applyFont="1" applyFill="1" applyProtection="1"/>
    <xf numFmtId="3" fontId="8" fillId="0" borderId="0" xfId="2" applyNumberFormat="1" applyFont="1" applyFill="1" applyProtection="1"/>
    <xf numFmtId="4" fontId="8" fillId="0" borderId="0" xfId="2" applyNumberFormat="1" applyFont="1" applyFill="1" applyProtection="1"/>
    <xf numFmtId="4" fontId="8" fillId="0" borderId="0" xfId="2" applyNumberFormat="1" applyFont="1" applyProtection="1"/>
    <xf numFmtId="0" fontId="14" fillId="0" borderId="0" xfId="2" applyFont="1" applyProtection="1"/>
    <xf numFmtId="167" fontId="8" fillId="0" borderId="0" xfId="2" applyNumberFormat="1" applyFont="1" applyProtection="1"/>
    <xf numFmtId="166" fontId="8" fillId="0" borderId="0" xfId="2" applyNumberFormat="1" applyFont="1" applyProtection="1"/>
    <xf numFmtId="172" fontId="8" fillId="0" borderId="0" xfId="2" applyNumberFormat="1" applyFont="1" applyProtection="1"/>
    <xf numFmtId="0" fontId="10" fillId="0" borderId="0" xfId="15" applyFont="1" applyFill="1" applyBorder="1" applyAlignment="1" applyProtection="1">
      <alignment horizontal="center"/>
    </xf>
    <xf numFmtId="0" fontId="10" fillId="0" borderId="0" xfId="15" quotePrefix="1" applyFont="1" applyFill="1" applyBorder="1" applyAlignment="1" applyProtection="1">
      <alignment horizontal="center" wrapText="1"/>
    </xf>
    <xf numFmtId="3" fontId="10" fillId="0" borderId="0" xfId="15" applyNumberFormat="1" applyFont="1" applyFill="1" applyBorder="1" applyAlignment="1" applyProtection="1">
      <alignment horizontal="right"/>
    </xf>
    <xf numFmtId="4" fontId="10" fillId="0" borderId="0" xfId="15" applyNumberFormat="1" applyFont="1" applyFill="1" applyBorder="1" applyAlignment="1" applyProtection="1">
      <alignment horizontal="right"/>
    </xf>
    <xf numFmtId="172" fontId="10" fillId="0" borderId="0" xfId="15" applyNumberFormat="1" applyFont="1" applyFill="1" applyBorder="1" applyAlignment="1" applyProtection="1">
      <alignment horizontal="right"/>
    </xf>
    <xf numFmtId="0" fontId="10" fillId="0" borderId="0" xfId="15" applyFont="1" applyFill="1" applyBorder="1" applyAlignment="1" applyProtection="1">
      <alignment horizontal="right"/>
    </xf>
    <xf numFmtId="0" fontId="10" fillId="0" borderId="0" xfId="15" applyFont="1" applyFill="1" applyBorder="1" applyAlignment="1" applyProtection="1">
      <alignment horizontal="centerContinuous"/>
    </xf>
    <xf numFmtId="0" fontId="10" fillId="0" borderId="0" xfId="15" quotePrefix="1" applyFont="1" applyFill="1" applyBorder="1" applyAlignment="1" applyProtection="1">
      <alignment horizontal="centerContinuous"/>
    </xf>
    <xf numFmtId="0" fontId="8" fillId="11" borderId="0" xfId="2" applyFont="1" applyFill="1" applyProtection="1"/>
    <xf numFmtId="0" fontId="8" fillId="0" borderId="0" xfId="2" applyFont="1" applyAlignment="1" applyProtection="1">
      <alignment horizontal="center" vertical="center" wrapText="1"/>
    </xf>
    <xf numFmtId="182" fontId="8" fillId="0" borderId="0" xfId="7" applyNumberFormat="1" applyFont="1" applyProtection="1"/>
    <xf numFmtId="182" fontId="8" fillId="0" borderId="0" xfId="2" applyNumberFormat="1" applyFont="1" applyProtection="1"/>
    <xf numFmtId="170" fontId="4" fillId="0" borderId="1" xfId="15" applyNumberFormat="1" applyFont="1" applyBorder="1" applyProtection="1"/>
    <xf numFmtId="169" fontId="10" fillId="0" borderId="0" xfId="15" applyNumberFormat="1" applyFont="1" applyProtection="1"/>
    <xf numFmtId="2" fontId="10" fillId="0" borderId="0" xfId="15" applyNumberFormat="1" applyFont="1" applyProtection="1"/>
    <xf numFmtId="0" fontId="10" fillId="2" borderId="4" xfId="15" applyFont="1" applyFill="1" applyBorder="1" applyAlignment="1" applyProtection="1">
      <alignment horizontal="center"/>
    </xf>
    <xf numFmtId="0" fontId="10" fillId="2" borderId="14" xfId="15" applyFont="1" applyFill="1" applyBorder="1" applyAlignment="1" applyProtection="1">
      <alignment horizontal="center"/>
    </xf>
    <xf numFmtId="172" fontId="10" fillId="0" borderId="0" xfId="15" applyNumberFormat="1" applyFont="1" applyProtection="1"/>
    <xf numFmtId="172" fontId="10" fillId="2" borderId="0" xfId="15" applyNumberFormat="1" applyFont="1" applyFill="1" applyBorder="1" applyAlignment="1" applyProtection="1">
      <alignment horizontal="right"/>
    </xf>
    <xf numFmtId="0" fontId="10" fillId="2" borderId="5" xfId="15" applyFont="1" applyFill="1" applyBorder="1" applyAlignment="1" applyProtection="1">
      <alignment horizontal="right"/>
    </xf>
    <xf numFmtId="0" fontId="10" fillId="2" borderId="0" xfId="15" quotePrefix="1" applyFont="1" applyFill="1" applyBorder="1" applyAlignment="1" applyProtection="1">
      <alignment horizontal="right"/>
    </xf>
    <xf numFmtId="0" fontId="10" fillId="2" borderId="4" xfId="15" quotePrefix="1" applyFont="1" applyFill="1" applyBorder="1" applyAlignment="1" applyProtection="1">
      <alignment horizontal="right"/>
    </xf>
    <xf numFmtId="0" fontId="10" fillId="2" borderId="0" xfId="15" applyFont="1" applyFill="1" applyBorder="1" applyAlignment="1" applyProtection="1">
      <alignment horizontal="right"/>
    </xf>
    <xf numFmtId="0" fontId="10" fillId="2" borderId="4" xfId="15" applyFont="1" applyFill="1" applyBorder="1" applyAlignment="1" applyProtection="1">
      <alignment horizontal="right"/>
    </xf>
    <xf numFmtId="0" fontId="10" fillId="0" borderId="0" xfId="15" applyFont="1" applyBorder="1" applyProtection="1"/>
    <xf numFmtId="1" fontId="10" fillId="0" borderId="0" xfId="15" applyNumberFormat="1" applyFont="1" applyProtection="1"/>
    <xf numFmtId="166" fontId="10" fillId="0" borderId="0" xfId="15" applyNumberFormat="1" applyFont="1" applyProtection="1"/>
    <xf numFmtId="2" fontId="7" fillId="2" borderId="6" xfId="15" applyNumberFormat="1" applyFont="1" applyFill="1" applyBorder="1" applyProtection="1"/>
    <xf numFmtId="0" fontId="10" fillId="8" borderId="0" xfId="2" applyFont="1" applyFill="1" applyBorder="1" applyProtection="1"/>
    <xf numFmtId="0" fontId="10" fillId="2" borderId="0" xfId="15" quotePrefix="1" applyFont="1" applyFill="1" applyBorder="1" applyAlignment="1" applyProtection="1">
      <alignment horizontal="left"/>
    </xf>
    <xf numFmtId="0" fontId="10" fillId="2" borderId="6" xfId="15" applyFont="1" applyFill="1" applyBorder="1" applyProtection="1"/>
    <xf numFmtId="9" fontId="10" fillId="2" borderId="6" xfId="6" applyFont="1" applyFill="1" applyBorder="1" applyProtection="1"/>
    <xf numFmtId="0" fontId="10" fillId="2" borderId="3" xfId="15" applyFont="1" applyFill="1" applyBorder="1" applyProtection="1"/>
    <xf numFmtId="0" fontId="10" fillId="2" borderId="2" xfId="15" applyFont="1" applyFill="1" applyBorder="1" applyProtection="1"/>
    <xf numFmtId="0" fontId="10" fillId="2" borderId="14" xfId="15" applyFont="1" applyFill="1" applyBorder="1" applyProtection="1"/>
    <xf numFmtId="9" fontId="10" fillId="2" borderId="14" xfId="6" applyFont="1" applyFill="1" applyBorder="1" applyProtection="1"/>
    <xf numFmtId="0" fontId="10" fillId="2" borderId="0" xfId="15" applyFont="1" applyFill="1" applyBorder="1" applyAlignment="1" applyProtection="1">
      <alignment horizontal="center"/>
    </xf>
    <xf numFmtId="166" fontId="10" fillId="2" borderId="6" xfId="15" applyNumberFormat="1" applyFont="1" applyFill="1" applyBorder="1" applyAlignment="1" applyProtection="1">
      <alignment horizontal="right"/>
    </xf>
    <xf numFmtId="166" fontId="10" fillId="2" borderId="0" xfId="15" applyNumberFormat="1" applyFont="1" applyFill="1" applyBorder="1" applyAlignment="1" applyProtection="1">
      <alignment horizontal="right"/>
    </xf>
    <xf numFmtId="166" fontId="10" fillId="2" borderId="4" xfId="15" applyNumberFormat="1" applyFont="1" applyFill="1" applyBorder="1" applyAlignment="1" applyProtection="1">
      <alignment horizontal="right"/>
    </xf>
    <xf numFmtId="166" fontId="10" fillId="2" borderId="3" xfId="15" applyNumberFormat="1" applyFont="1" applyFill="1" applyBorder="1" applyAlignment="1" applyProtection="1">
      <alignment horizontal="right"/>
    </xf>
    <xf numFmtId="166" fontId="10" fillId="2" borderId="2" xfId="15" applyNumberFormat="1" applyFont="1" applyFill="1" applyBorder="1" applyAlignment="1" applyProtection="1">
      <alignment horizontal="right"/>
    </xf>
    <xf numFmtId="166" fontId="10" fillId="2" borderId="14" xfId="15" applyNumberFormat="1" applyFont="1" applyFill="1" applyBorder="1" applyAlignment="1" applyProtection="1">
      <alignment horizontal="right"/>
    </xf>
    <xf numFmtId="0" fontId="8" fillId="2" borderId="0" xfId="2" quotePrefix="1" applyFont="1" applyFill="1" applyBorder="1" applyAlignment="1" applyProtection="1">
      <alignment horizontal="center"/>
    </xf>
    <xf numFmtId="0" fontId="10" fillId="2" borderId="14" xfId="15" applyFont="1" applyFill="1" applyBorder="1" applyAlignment="1" applyProtection="1">
      <alignment horizontal="centerContinuous"/>
    </xf>
    <xf numFmtId="0" fontId="10" fillId="2" borderId="14" xfId="15" applyFont="1" applyFill="1" applyBorder="1" applyAlignment="1" applyProtection="1">
      <alignment horizontal="centerContinuous" vertical="center"/>
    </xf>
    <xf numFmtId="3" fontId="10" fillId="2" borderId="0" xfId="15" applyNumberFormat="1" applyFont="1" applyFill="1" applyBorder="1" applyProtection="1"/>
    <xf numFmtId="49" fontId="10" fillId="2" borderId="0" xfId="26" applyNumberFormat="1" applyFont="1" applyFill="1" applyBorder="1" applyAlignment="1" applyProtection="1">
      <alignment vertical="top"/>
    </xf>
    <xf numFmtId="0" fontId="8" fillId="2" borderId="2" xfId="15" applyFont="1" applyFill="1" applyBorder="1" applyProtection="1"/>
    <xf numFmtId="43" fontId="10" fillId="0" borderId="0" xfId="15" applyNumberFormat="1" applyFont="1" applyProtection="1"/>
    <xf numFmtId="182" fontId="10" fillId="0" borderId="0" xfId="7" applyNumberFormat="1" applyFont="1" applyProtection="1"/>
    <xf numFmtId="9" fontId="10" fillId="0" borderId="0" xfId="15" applyNumberFormat="1" applyFont="1" applyProtection="1"/>
    <xf numFmtId="3" fontId="10" fillId="0" borderId="0" xfId="15" applyNumberFormat="1" applyFont="1" applyProtection="1"/>
    <xf numFmtId="0" fontId="21" fillId="0" borderId="0" xfId="25"/>
    <xf numFmtId="170" fontId="8" fillId="0" borderId="0" xfId="2" applyNumberFormat="1" applyFont="1" applyProtection="1"/>
    <xf numFmtId="0" fontId="4" fillId="0" borderId="1" xfId="2" applyFont="1" applyBorder="1" applyAlignment="1" applyProtection="1">
      <alignment horizontal="center"/>
    </xf>
    <xf numFmtId="0" fontId="4" fillId="0" borderId="1" xfId="3" applyFont="1" applyBorder="1" applyAlignment="1" applyProtection="1">
      <alignment horizontal="center"/>
    </xf>
    <xf numFmtId="0" fontId="8" fillId="2" borderId="2" xfId="23" applyFont="1" applyFill="1" applyBorder="1" applyProtection="1"/>
    <xf numFmtId="0" fontId="3" fillId="2" borderId="2" xfId="23" applyFont="1" applyFill="1" applyBorder="1" applyProtection="1"/>
    <xf numFmtId="0" fontId="3" fillId="2" borderId="3" xfId="23" applyFont="1" applyFill="1" applyBorder="1" applyProtection="1"/>
    <xf numFmtId="0" fontId="3" fillId="0" borderId="0" xfId="23" applyFont="1" applyProtection="1"/>
    <xf numFmtId="0" fontId="6" fillId="8" borderId="4" xfId="23" applyFont="1" applyFill="1" applyBorder="1" applyAlignment="1" applyProtection="1">
      <alignment horizontal="center"/>
    </xf>
    <xf numFmtId="0" fontId="3" fillId="8" borderId="0" xfId="23" applyFont="1" applyFill="1" applyBorder="1" applyProtection="1"/>
    <xf numFmtId="0" fontId="3" fillId="8" borderId="5" xfId="23" applyFont="1" applyFill="1" applyBorder="1" applyProtection="1"/>
    <xf numFmtId="2" fontId="7" fillId="8" borderId="4" xfId="23" applyNumberFormat="1" applyFont="1" applyFill="1" applyBorder="1" applyAlignment="1" applyProtection="1">
      <alignment horizontal="center"/>
    </xf>
    <xf numFmtId="0" fontId="3" fillId="8" borderId="0" xfId="23" applyFont="1" applyFill="1" applyBorder="1" applyAlignment="1" applyProtection="1">
      <alignment horizontal="left"/>
    </xf>
    <xf numFmtId="0" fontId="3" fillId="2" borderId="4" xfId="23" applyFont="1" applyFill="1" applyBorder="1" applyProtection="1"/>
    <xf numFmtId="0" fontId="3" fillId="2" borderId="0" xfId="23" applyFont="1" applyFill="1" applyBorder="1" applyProtection="1"/>
    <xf numFmtId="0" fontId="3" fillId="2" borderId="5" xfId="23" applyFont="1" applyFill="1" applyBorder="1" applyProtection="1"/>
    <xf numFmtId="0" fontId="3" fillId="2" borderId="14" xfId="23" applyFont="1" applyFill="1" applyBorder="1" applyProtection="1"/>
    <xf numFmtId="0" fontId="3" fillId="2" borderId="2" xfId="23" applyFont="1" applyFill="1" applyBorder="1" applyAlignment="1" applyProtection="1">
      <alignment horizontal="right" vertical="center"/>
    </xf>
    <xf numFmtId="0" fontId="3" fillId="2" borderId="2" xfId="23" applyFont="1" applyFill="1" applyBorder="1" applyAlignment="1" applyProtection="1">
      <alignment horizontal="right"/>
    </xf>
    <xf numFmtId="0" fontId="3" fillId="2" borderId="3" xfId="23" applyFont="1" applyFill="1" applyBorder="1" applyAlignment="1" applyProtection="1">
      <alignment horizontal="right"/>
    </xf>
    <xf numFmtId="0" fontId="3" fillId="8" borderId="4" xfId="23" applyFont="1" applyFill="1" applyBorder="1" applyAlignment="1" applyProtection="1">
      <alignment horizontal="left"/>
    </xf>
    <xf numFmtId="0" fontId="3" fillId="8" borderId="0" xfId="23" applyFont="1" applyFill="1" applyBorder="1" applyAlignment="1" applyProtection="1">
      <alignment horizontal="right" vertical="center"/>
    </xf>
    <xf numFmtId="0" fontId="3" fillId="8" borderId="5" xfId="23" applyFont="1" applyFill="1" applyBorder="1" applyAlignment="1" applyProtection="1">
      <alignment horizontal="right"/>
    </xf>
    <xf numFmtId="0" fontId="3" fillId="8" borderId="0" xfId="23" applyFont="1" applyFill="1" applyBorder="1" applyAlignment="1" applyProtection="1">
      <alignment horizontal="center"/>
    </xf>
    <xf numFmtId="0" fontId="3" fillId="8" borderId="4" xfId="23" applyFont="1" applyFill="1" applyBorder="1" applyAlignment="1" applyProtection="1">
      <alignment horizontal="center" vertical="top"/>
    </xf>
    <xf numFmtId="0" fontId="3" fillId="8" borderId="5" xfId="23" applyFont="1" applyFill="1" applyBorder="1" applyAlignment="1" applyProtection="1">
      <alignment horizontal="right" vertical="center"/>
    </xf>
    <xf numFmtId="0" fontId="27" fillId="8" borderId="0" xfId="23" applyFont="1" applyFill="1" applyBorder="1" applyAlignment="1" applyProtection="1">
      <alignment horizontal="center" wrapText="1"/>
    </xf>
    <xf numFmtId="0" fontId="3" fillId="8" borderId="6" xfId="23" applyFont="1" applyFill="1" applyBorder="1" applyAlignment="1" applyProtection="1">
      <alignment horizontal="center"/>
    </xf>
    <xf numFmtId="183" fontId="3" fillId="8" borderId="7" xfId="23" applyNumberFormat="1" applyFont="1" applyFill="1" applyBorder="1" applyAlignment="1" applyProtection="1">
      <alignment horizontal="right" vertical="center" wrapText="1"/>
    </xf>
    <xf numFmtId="183" fontId="3" fillId="8" borderId="8" xfId="23" applyNumberFormat="1" applyFont="1" applyFill="1" applyBorder="1" applyAlignment="1" applyProtection="1">
      <alignment horizontal="right" vertical="center" wrapText="1"/>
    </xf>
    <xf numFmtId="3" fontId="3" fillId="8" borderId="0" xfId="23" applyNumberFormat="1" applyFont="1" applyFill="1" applyBorder="1" applyAlignment="1" applyProtection="1">
      <alignment horizontal="center" vertical="center" wrapText="1"/>
    </xf>
    <xf numFmtId="3" fontId="3" fillId="8" borderId="0" xfId="23" applyNumberFormat="1" applyFont="1" applyFill="1" applyBorder="1" applyAlignment="1" applyProtection="1">
      <alignment horizontal="center"/>
    </xf>
    <xf numFmtId="0" fontId="3" fillId="8" borderId="9" xfId="23" applyFont="1" applyFill="1" applyBorder="1" applyAlignment="1" applyProtection="1">
      <alignment horizontal="center" vertical="center" wrapText="1"/>
    </xf>
    <xf numFmtId="3" fontId="3" fillId="8" borderId="14" xfId="23" applyNumberFormat="1" applyFont="1" applyFill="1" applyBorder="1" applyAlignment="1" applyProtection="1">
      <alignment horizontal="right"/>
    </xf>
    <xf numFmtId="3" fontId="3" fillId="8" borderId="2" xfId="23" applyNumberFormat="1" applyFont="1" applyFill="1" applyBorder="1" applyAlignment="1" applyProtection="1">
      <alignment horizontal="right" vertical="center" wrapText="1"/>
    </xf>
    <xf numFmtId="3" fontId="3" fillId="8" borderId="3" xfId="23" applyNumberFormat="1" applyFont="1" applyFill="1" applyBorder="1" applyAlignment="1" applyProtection="1">
      <alignment horizontal="right" vertical="center" wrapText="1"/>
    </xf>
    <xf numFmtId="0" fontId="3" fillId="8" borderId="10" xfId="23" applyFont="1" applyFill="1" applyBorder="1" applyAlignment="1" applyProtection="1">
      <alignment horizontal="center" vertical="center" wrapText="1"/>
    </xf>
    <xf numFmtId="3" fontId="3" fillId="8" borderId="4" xfId="23" applyNumberFormat="1" applyFont="1" applyFill="1" applyBorder="1" applyAlignment="1" applyProtection="1">
      <alignment horizontal="right"/>
    </xf>
    <xf numFmtId="3" fontId="3" fillId="8" borderId="0" xfId="23" applyNumberFormat="1" applyFont="1" applyFill="1" applyBorder="1" applyAlignment="1" applyProtection="1">
      <alignment horizontal="right" vertical="center" wrapText="1"/>
    </xf>
    <xf numFmtId="3" fontId="3" fillId="8" borderId="5" xfId="23" applyNumberFormat="1" applyFont="1" applyFill="1" applyBorder="1" applyAlignment="1" applyProtection="1">
      <alignment horizontal="right" vertical="center" wrapText="1"/>
    </xf>
    <xf numFmtId="0" fontId="3" fillId="8" borderId="11" xfId="23" applyFont="1" applyFill="1" applyBorder="1" applyAlignment="1" applyProtection="1">
      <alignment horizontal="center" vertical="center" wrapText="1"/>
    </xf>
    <xf numFmtId="3" fontId="3" fillId="8" borderId="6" xfId="23" applyNumberFormat="1" applyFont="1" applyFill="1" applyBorder="1" applyAlignment="1" applyProtection="1">
      <alignment horizontal="right"/>
    </xf>
    <xf numFmtId="3" fontId="3" fillId="8" borderId="7" xfId="23" applyNumberFormat="1" applyFont="1" applyFill="1" applyBorder="1" applyAlignment="1" applyProtection="1">
      <alignment horizontal="right" vertical="center" wrapText="1"/>
    </xf>
    <xf numFmtId="3" fontId="3" fillId="8" borderId="8" xfId="23" applyNumberFormat="1" applyFont="1" applyFill="1" applyBorder="1" applyAlignment="1" applyProtection="1">
      <alignment horizontal="right" vertical="center" wrapText="1"/>
    </xf>
    <xf numFmtId="0" fontId="3" fillId="2" borderId="12" xfId="23" applyFont="1" applyFill="1" applyBorder="1" applyAlignment="1" applyProtection="1">
      <alignment horizontal="centerContinuous"/>
    </xf>
    <xf numFmtId="0" fontId="3" fillId="2" borderId="15" xfId="23" applyFont="1" applyFill="1" applyBorder="1" applyAlignment="1" applyProtection="1">
      <alignment horizontal="centerContinuous"/>
    </xf>
    <xf numFmtId="0" fontId="3" fillId="2" borderId="13" xfId="23" applyFont="1" applyFill="1" applyBorder="1" applyAlignment="1" applyProtection="1">
      <alignment horizontal="centerContinuous"/>
    </xf>
    <xf numFmtId="16" fontId="3" fillId="8" borderId="4" xfId="23" quotePrefix="1" applyNumberFormat="1" applyFont="1" applyFill="1" applyBorder="1" applyAlignment="1" applyProtection="1">
      <alignment horizontal="right"/>
    </xf>
    <xf numFmtId="16" fontId="3" fillId="8" borderId="0" xfId="23" quotePrefix="1" applyNumberFormat="1" applyFont="1" applyFill="1" applyBorder="1" applyAlignment="1" applyProtection="1">
      <alignment horizontal="right"/>
    </xf>
    <xf numFmtId="16" fontId="3" fillId="8" borderId="5" xfId="23" quotePrefix="1" applyNumberFormat="1" applyFont="1" applyFill="1" applyBorder="1" applyAlignment="1" applyProtection="1">
      <alignment horizontal="right"/>
    </xf>
    <xf numFmtId="166" fontId="3" fillId="8" borderId="6" xfId="23" applyNumberFormat="1" applyFont="1" applyFill="1" applyBorder="1" applyAlignment="1" applyProtection="1">
      <alignment horizontal="right"/>
    </xf>
    <xf numFmtId="166" fontId="3" fillId="8" borderId="7" xfId="23" applyNumberFormat="1" applyFont="1" applyFill="1" applyBorder="1" applyAlignment="1" applyProtection="1">
      <alignment horizontal="right"/>
    </xf>
    <xf numFmtId="166" fontId="3" fillId="8" borderId="8" xfId="23" applyNumberFormat="1" applyFont="1" applyFill="1" applyBorder="1" applyAlignment="1" applyProtection="1">
      <alignment horizontal="right"/>
    </xf>
    <xf numFmtId="0" fontId="3" fillId="2" borderId="4" xfId="23" applyFont="1" applyFill="1" applyBorder="1" applyAlignment="1" applyProtection="1">
      <alignment horizontal="center"/>
    </xf>
    <xf numFmtId="0" fontId="3" fillId="8" borderId="0" xfId="23" applyFont="1" applyFill="1" applyBorder="1" applyAlignment="1" applyProtection="1">
      <alignment horizontal="left" vertical="center"/>
    </xf>
    <xf numFmtId="2" fontId="7" fillId="2" borderId="4" xfId="23" applyNumberFormat="1" applyFont="1" applyFill="1" applyBorder="1" applyAlignment="1" applyProtection="1">
      <alignment horizontal="center"/>
    </xf>
    <xf numFmtId="2" fontId="7" fillId="2" borderId="4" xfId="23" applyNumberFormat="1" applyFont="1" applyFill="1" applyBorder="1" applyAlignment="1" applyProtection="1">
      <alignment horizontal="right"/>
    </xf>
    <xf numFmtId="0" fontId="3" fillId="2" borderId="6" xfId="23" applyFont="1" applyFill="1" applyBorder="1" applyProtection="1"/>
    <xf numFmtId="0" fontId="3" fillId="8" borderId="7" xfId="23" applyFont="1" applyFill="1" applyBorder="1" applyAlignment="1" applyProtection="1">
      <alignment horizontal="left" vertical="center"/>
    </xf>
    <xf numFmtId="0" fontId="3" fillId="2" borderId="7" xfId="23" applyFont="1" applyFill="1" applyBorder="1" applyProtection="1"/>
    <xf numFmtId="0" fontId="3" fillId="2" borderId="8" xfId="23" applyFont="1" applyFill="1" applyBorder="1" applyProtection="1"/>
    <xf numFmtId="166" fontId="3" fillId="0" borderId="0" xfId="23" applyNumberFormat="1" applyFont="1" applyProtection="1"/>
    <xf numFmtId="3" fontId="3" fillId="0" borderId="0" xfId="23" applyNumberFormat="1" applyFont="1" applyProtection="1"/>
    <xf numFmtId="16" fontId="3" fillId="0" borderId="0" xfId="23" applyNumberFormat="1" applyFont="1" applyProtection="1"/>
    <xf numFmtId="4" fontId="3" fillId="0" borderId="0" xfId="23" applyNumberFormat="1" applyFont="1" applyProtection="1"/>
    <xf numFmtId="3" fontId="3" fillId="0" borderId="9" xfId="23" applyNumberFormat="1" applyFont="1" applyBorder="1" applyProtection="1"/>
    <xf numFmtId="3" fontId="3" fillId="0" borderId="10" xfId="23" applyNumberFormat="1" applyFont="1" applyBorder="1" applyProtection="1"/>
    <xf numFmtId="3" fontId="3" fillId="0" borderId="11" xfId="23" applyNumberFormat="1" applyFont="1" applyBorder="1" applyProtection="1"/>
    <xf numFmtId="0" fontId="3" fillId="3" borderId="1" xfId="1" applyFont="1" applyFill="1" applyBorder="1" applyAlignment="1" applyProtection="1">
      <alignment horizontal="center"/>
    </xf>
    <xf numFmtId="0" fontId="3" fillId="3" borderId="12" xfId="1" applyFont="1" applyFill="1" applyBorder="1" applyAlignment="1" applyProtection="1">
      <alignment horizontal="center"/>
    </xf>
    <xf numFmtId="0" fontId="3" fillId="3" borderId="13" xfId="1" applyFont="1" applyFill="1" applyBorder="1" applyAlignment="1" applyProtection="1">
      <alignment horizontal="center"/>
    </xf>
    <xf numFmtId="0" fontId="10" fillId="3" borderId="15" xfId="1" applyFont="1" applyFill="1" applyBorder="1" applyAlignment="1" applyProtection="1">
      <alignment horizontal="center" wrapText="1"/>
    </xf>
    <xf numFmtId="0" fontId="10" fillId="3" borderId="13" xfId="1" applyFont="1" applyFill="1" applyBorder="1" applyAlignment="1" applyProtection="1">
      <alignment horizontal="center" wrapText="1"/>
    </xf>
    <xf numFmtId="164" fontId="8" fillId="2" borderId="12" xfId="8" applyNumberFormat="1" applyFont="1" applyFill="1" applyBorder="1" applyAlignment="1" applyProtection="1">
      <alignment horizontal="center"/>
    </xf>
    <xf numFmtId="0" fontId="8" fillId="2" borderId="15" xfId="8" applyFont="1" applyFill="1" applyBorder="1" applyAlignment="1" applyProtection="1">
      <alignment horizontal="center"/>
    </xf>
    <xf numFmtId="0" fontId="8" fillId="2" borderId="13" xfId="8" applyFont="1" applyFill="1" applyBorder="1" applyAlignment="1" applyProtection="1">
      <alignment horizontal="center"/>
    </xf>
    <xf numFmtId="3" fontId="8" fillId="2" borderId="14" xfId="8" applyNumberFormat="1" applyFont="1" applyFill="1" applyBorder="1" applyAlignment="1" applyProtection="1">
      <alignment horizontal="center"/>
    </xf>
    <xf numFmtId="0" fontId="8" fillId="2" borderId="3" xfId="8" applyFont="1" applyFill="1" applyBorder="1" applyAlignment="1" applyProtection="1">
      <alignment horizontal="center"/>
    </xf>
    <xf numFmtId="0" fontId="19" fillId="5" borderId="9" xfId="0" applyFont="1" applyFill="1" applyBorder="1" applyAlignment="1">
      <alignment horizontal="center" vertical="center"/>
    </xf>
    <xf numFmtId="0" fontId="19" fillId="5" borderId="11" xfId="0" applyFont="1" applyFill="1" applyBorder="1" applyAlignment="1">
      <alignment horizontal="center" vertical="center"/>
    </xf>
    <xf numFmtId="0" fontId="10" fillId="3" borderId="2" xfId="13" applyFont="1" applyFill="1" applyBorder="1" applyAlignment="1" applyProtection="1">
      <alignment horizontal="center"/>
    </xf>
    <xf numFmtId="0" fontId="10" fillId="3" borderId="3" xfId="13" applyFont="1" applyFill="1" applyBorder="1" applyAlignment="1" applyProtection="1">
      <alignment horizontal="center"/>
    </xf>
    <xf numFmtId="0" fontId="18" fillId="5" borderId="9"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0" fillId="3" borderId="14" xfId="1" applyFont="1" applyFill="1" applyBorder="1" applyAlignment="1" applyProtection="1">
      <alignment horizontal="center" vertical="center"/>
    </xf>
    <xf numFmtId="0" fontId="10" fillId="3" borderId="3" xfId="1" applyFont="1" applyFill="1" applyBorder="1" applyAlignment="1" applyProtection="1">
      <alignment horizontal="center" vertical="center"/>
    </xf>
    <xf numFmtId="0" fontId="10" fillId="3" borderId="4" xfId="1" applyFont="1" applyFill="1" applyBorder="1" applyAlignment="1" applyProtection="1">
      <alignment horizontal="center" vertical="center"/>
    </xf>
    <xf numFmtId="0" fontId="10" fillId="3" borderId="5" xfId="1" applyFont="1" applyFill="1" applyBorder="1" applyAlignment="1" applyProtection="1">
      <alignment horizontal="center" vertical="center"/>
    </xf>
    <xf numFmtId="0" fontId="10" fillId="3" borderId="9" xfId="1" applyFont="1" applyFill="1" applyBorder="1" applyAlignment="1" applyProtection="1">
      <alignment horizontal="center" vertical="center"/>
    </xf>
    <xf numFmtId="0" fontId="10" fillId="3" borderId="11" xfId="1" applyFont="1" applyFill="1" applyBorder="1" applyAlignment="1" applyProtection="1">
      <alignment horizontal="center" vertical="center"/>
    </xf>
    <xf numFmtId="183" fontId="10" fillId="3" borderId="9" xfId="1" applyNumberFormat="1" applyFont="1" applyFill="1" applyBorder="1" applyAlignment="1" applyProtection="1">
      <alignment horizontal="left" vertical="center"/>
    </xf>
    <xf numFmtId="183" fontId="10" fillId="3" borderId="11" xfId="1" applyNumberFormat="1" applyFont="1" applyFill="1" applyBorder="1" applyAlignment="1" applyProtection="1">
      <alignment horizontal="left" vertical="center"/>
    </xf>
    <xf numFmtId="0" fontId="10" fillId="3" borderId="10" xfId="1" applyFont="1" applyFill="1" applyBorder="1" applyAlignment="1" applyProtection="1">
      <alignment horizontal="center" vertical="center"/>
    </xf>
    <xf numFmtId="183" fontId="10" fillId="3" borderId="10" xfId="1" applyNumberFormat="1" applyFont="1" applyFill="1" applyBorder="1" applyAlignment="1" applyProtection="1">
      <alignment horizontal="left" vertical="center"/>
    </xf>
  </cellXfs>
  <cellStyles count="27">
    <cellStyle name="Comma" xfId="5" builtinId="3"/>
    <cellStyle name="Comma 2" xfId="7"/>
    <cellStyle name="Comma 2 2" xfId="21"/>
    <cellStyle name="Comma 2 3" xfId="18"/>
    <cellStyle name="Comma 2 3 2" xfId="20"/>
    <cellStyle name="Comma 3" xfId="22"/>
    <cellStyle name="Currency 2" xfId="19"/>
    <cellStyle name="Explanatory Text 2" xfId="3"/>
    <cellStyle name="Explanatory Text 2 2" xfId="11"/>
    <cellStyle name="Explanatory Text 3" xfId="12"/>
    <cellStyle name="Normal" xfId="0" builtinId="0"/>
    <cellStyle name="Normal 2" xfId="15"/>
    <cellStyle name="Normal 2 2" xfId="2"/>
    <cellStyle name="Normal 2 2 2" xfId="10"/>
    <cellStyle name="Normal 2 2 2 2" xfId="24"/>
    <cellStyle name="Normal 2 3" xfId="1"/>
    <cellStyle name="Normal 2 4" xfId="8"/>
    <cellStyle name="Normal 2 4 2" xfId="14"/>
    <cellStyle name="Normal 3" xfId="25"/>
    <cellStyle name="Normal 3 2" xfId="26"/>
    <cellStyle name="Normal 4" xfId="23"/>
    <cellStyle name="Normal 4 2" xfId="4"/>
    <cellStyle name="Normal 4 2 2" xfId="13"/>
    <cellStyle name="Normal 5" xfId="9"/>
    <cellStyle name="Percent 2" xfId="6"/>
    <cellStyle name="Percent 2 2 2" xfId="17"/>
    <cellStyle name="Percent 3 3" xfId="16"/>
  </cellStyles>
  <dxfs count="247">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ill>
        <patternFill>
          <bgColor theme="0" tint="-4.9989318521683403E-2"/>
        </patternFill>
      </fill>
      <border>
        <left/>
        <right/>
        <top/>
        <bottom/>
      </border>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62865</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379095</xdr:colOff>
      <xdr:row>32</xdr:row>
      <xdr:rowOff>53340</xdr:rowOff>
    </xdr:to>
    <xdr:pic>
      <xdr:nvPicPr>
        <xdr:cNvPr id="3" name="Picture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267575" cy="35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62866</xdr:rowOff>
    </xdr:to>
    <xdr:pic>
      <xdr:nvPicPr>
        <xdr:cNvPr id="2" name="Picture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512445</xdr:colOff>
      <xdr:row>32</xdr:row>
      <xdr:rowOff>53341</xdr:rowOff>
    </xdr:to>
    <xdr:pic>
      <xdr:nvPicPr>
        <xdr:cNvPr id="3" name="Picture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400925" cy="351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62866</xdr:rowOff>
    </xdr:to>
    <xdr:pic>
      <xdr:nvPicPr>
        <xdr:cNvPr id="2" name="Picture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540054</xdr:colOff>
      <xdr:row>32</xdr:row>
      <xdr:rowOff>53341</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399959" cy="351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210"/>
  <sheetViews>
    <sheetView tabSelected="1" zoomScaleNormal="100" workbookViewId="0"/>
  </sheetViews>
  <sheetFormatPr defaultColWidth="0" defaultRowHeight="13.8" zeroHeight="1" x14ac:dyDescent="0.25"/>
  <cols>
    <col min="1" max="1" width="11.6640625" style="1" customWidth="1"/>
    <col min="2" max="2" width="15.6640625" style="1" customWidth="1"/>
    <col min="3" max="52" width="12.109375" style="1" customWidth="1"/>
    <col min="53" max="55" width="0" style="1" hidden="1" customWidth="1"/>
    <col min="56" max="16384" width="12.109375" style="1" hidden="1"/>
  </cols>
  <sheetData>
    <row r="1" spans="1:52" ht="14.7" customHeight="1" thickBot="1" x14ac:dyDescent="0.3">
      <c r="A1" s="3">
        <v>1</v>
      </c>
      <c r="B1" s="4"/>
      <c r="C1" s="5"/>
      <c r="D1" s="5"/>
      <c r="E1" s="5"/>
      <c r="F1" s="5"/>
      <c r="G1" s="5"/>
      <c r="H1" s="5"/>
      <c r="I1" s="5"/>
      <c r="J1" s="5"/>
      <c r="K1" s="6"/>
      <c r="L1" s="7"/>
      <c r="M1" s="7"/>
      <c r="N1" s="7"/>
      <c r="O1" s="7"/>
      <c r="P1" s="7"/>
      <c r="Q1" s="7"/>
      <c r="R1" s="7"/>
      <c r="S1" s="7"/>
      <c r="T1" s="7"/>
      <c r="U1" s="7"/>
      <c r="V1" s="7"/>
      <c r="W1" s="7"/>
    </row>
    <row r="2" spans="1:52" ht="14.7" customHeight="1" x14ac:dyDescent="0.25">
      <c r="A2" s="8" t="s">
        <v>4</v>
      </c>
      <c r="B2" s="9"/>
      <c r="C2" s="9"/>
      <c r="D2" s="9"/>
      <c r="E2" s="9"/>
      <c r="F2" s="9"/>
      <c r="G2" s="9"/>
      <c r="H2" s="9"/>
      <c r="I2" s="9"/>
      <c r="J2" s="9"/>
      <c r="K2" s="10"/>
      <c r="L2" s="7"/>
      <c r="M2" s="7"/>
      <c r="N2" s="7"/>
      <c r="O2" s="7"/>
      <c r="P2" s="7"/>
      <c r="Q2" s="7"/>
      <c r="R2" s="7"/>
      <c r="S2" s="7"/>
      <c r="T2" s="7"/>
      <c r="U2" s="7"/>
      <c r="V2" s="7"/>
      <c r="W2" s="7"/>
    </row>
    <row r="3" spans="1:52" ht="14.7" customHeight="1" x14ac:dyDescent="0.25">
      <c r="A3" s="11">
        <v>1.5</v>
      </c>
      <c r="B3" s="9"/>
      <c r="C3" s="9"/>
      <c r="D3" s="9"/>
      <c r="E3" s="9"/>
      <c r="F3" s="9"/>
      <c r="G3" s="9"/>
      <c r="H3" s="9"/>
      <c r="I3" s="9"/>
      <c r="J3" s="9"/>
      <c r="K3" s="10"/>
      <c r="L3" s="7"/>
      <c r="M3" s="7"/>
      <c r="N3" s="7"/>
      <c r="O3" s="7"/>
      <c r="P3" s="7"/>
      <c r="Q3" s="7"/>
      <c r="R3" s="7"/>
      <c r="S3" s="7"/>
      <c r="T3" s="7"/>
      <c r="U3" s="7"/>
      <c r="V3" s="7"/>
      <c r="W3" s="7"/>
    </row>
    <row r="4" spans="1:52" ht="14.7" customHeight="1" x14ac:dyDescent="0.25">
      <c r="A4" s="11"/>
      <c r="B4" s="9" t="s">
        <v>5</v>
      </c>
      <c r="C4" s="9"/>
      <c r="D4" s="9"/>
      <c r="E4" s="9"/>
      <c r="F4" s="9"/>
      <c r="G4" s="9"/>
      <c r="H4" s="9"/>
      <c r="I4" s="9"/>
      <c r="J4" s="9"/>
      <c r="K4" s="10"/>
      <c r="L4" s="7"/>
      <c r="M4" s="7"/>
      <c r="N4" s="7"/>
      <c r="O4" s="7"/>
      <c r="P4" s="7"/>
      <c r="Q4" s="7"/>
      <c r="R4" s="7"/>
      <c r="S4" s="7"/>
      <c r="T4" s="7"/>
      <c r="U4" s="7"/>
      <c r="V4" s="7"/>
      <c r="W4" s="7"/>
    </row>
    <row r="5" spans="1:52" ht="14.7" customHeight="1" x14ac:dyDescent="0.25">
      <c r="A5" s="11"/>
      <c r="B5" s="12"/>
      <c r="C5" s="9"/>
      <c r="D5" s="9"/>
      <c r="E5" s="9"/>
      <c r="F5" s="9"/>
      <c r="G5" s="9"/>
      <c r="H5" s="9"/>
      <c r="I5" s="9"/>
      <c r="J5" s="9"/>
      <c r="K5" s="10"/>
      <c r="L5" s="7"/>
      <c r="M5" s="7"/>
      <c r="N5" s="7"/>
      <c r="O5" s="7"/>
      <c r="P5" s="7"/>
      <c r="Q5" s="7"/>
      <c r="R5" s="7"/>
      <c r="S5" s="7"/>
      <c r="T5" s="7"/>
      <c r="U5" s="7"/>
      <c r="V5" s="7"/>
      <c r="W5" s="7"/>
    </row>
    <row r="6" spans="1:52" ht="14.7" customHeight="1" x14ac:dyDescent="0.25">
      <c r="A6" s="11"/>
      <c r="B6" s="12" t="s">
        <v>6</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x14ac:dyDescent="0.25">
      <c r="A8" s="11"/>
      <c r="B8" s="12" t="s">
        <v>8</v>
      </c>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15" t="s">
        <v>9</v>
      </c>
      <c r="C9" s="9"/>
      <c r="D9" s="9"/>
      <c r="E9" s="9"/>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v>0.25</v>
      </c>
      <c r="B11" s="9" t="s">
        <v>10</v>
      </c>
      <c r="C11" s="9"/>
      <c r="D11" s="9"/>
      <c r="E11" s="9"/>
      <c r="F11" s="9"/>
      <c r="G11" s="13"/>
      <c r="H11" s="13"/>
      <c r="I11" s="13"/>
      <c r="J11" s="13"/>
      <c r="K11" s="10"/>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19" t="s">
        <v>11</v>
      </c>
      <c r="C12" s="9"/>
      <c r="D12" s="9"/>
      <c r="E12" s="9"/>
      <c r="F12" s="9"/>
      <c r="G12" s="13"/>
      <c r="H12" s="13"/>
      <c r="I12" s="13"/>
      <c r="J12" s="13"/>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19"/>
      <c r="C13" s="9"/>
      <c r="D13" s="9"/>
      <c r="E13" s="9"/>
      <c r="F13" s="9"/>
      <c r="G13" s="13"/>
      <c r="H13" s="13"/>
      <c r="I13" s="13"/>
      <c r="J13" s="13"/>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7" customHeight="1" x14ac:dyDescent="0.25">
      <c r="A14" s="11">
        <v>0.25</v>
      </c>
      <c r="B14" s="9" t="s">
        <v>1</v>
      </c>
      <c r="C14" s="9"/>
      <c r="D14" s="9"/>
      <c r="E14" s="9"/>
      <c r="F14" s="9"/>
      <c r="G14" s="9"/>
      <c r="H14" s="9"/>
      <c r="I14" s="9"/>
      <c r="J14" s="9"/>
      <c r="K14" s="10"/>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7" customHeight="1" x14ac:dyDescent="0.25">
      <c r="A15" s="11"/>
      <c r="B15" s="9" t="s">
        <v>12</v>
      </c>
      <c r="C15" s="9"/>
      <c r="D15" s="9"/>
      <c r="E15" s="9"/>
      <c r="F15" s="9"/>
      <c r="G15" s="9"/>
      <c r="H15" s="9"/>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7" customHeight="1" x14ac:dyDescent="0.25">
      <c r="A16" s="11"/>
      <c r="B16" s="9"/>
      <c r="C16" s="9"/>
      <c r="D16" s="9"/>
      <c r="E16" s="9"/>
      <c r="F16" s="9"/>
      <c r="G16" s="9"/>
      <c r="H16" s="9"/>
      <c r="I16" s="9"/>
      <c r="J16" s="9"/>
      <c r="K16" s="10"/>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7" customHeight="1" x14ac:dyDescent="0.25">
      <c r="A17" s="11">
        <v>0.25</v>
      </c>
      <c r="B17" s="9" t="s">
        <v>2</v>
      </c>
      <c r="C17" s="9"/>
      <c r="D17" s="22"/>
      <c r="E17" s="23"/>
      <c r="F17" s="23"/>
      <c r="G17" s="24"/>
      <c r="H17" s="9"/>
      <c r="I17" s="9"/>
      <c r="J17" s="9"/>
      <c r="K17" s="10"/>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x14ac:dyDescent="0.25">
      <c r="A18" s="11"/>
      <c r="B18" s="19" t="s">
        <v>13</v>
      </c>
      <c r="C18" s="9"/>
      <c r="D18" s="25"/>
      <c r="E18" s="25"/>
      <c r="F18" s="25"/>
      <c r="G18" s="25"/>
      <c r="H18" s="25"/>
      <c r="I18" s="25"/>
      <c r="J18" s="25"/>
      <c r="K18" s="26"/>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x14ac:dyDescent="0.25">
      <c r="A19" s="11"/>
      <c r="B19" s="19"/>
      <c r="C19" s="9"/>
      <c r="D19" s="25"/>
      <c r="E19" s="25"/>
      <c r="F19" s="25"/>
      <c r="G19" s="25"/>
      <c r="H19" s="25"/>
      <c r="I19" s="25"/>
      <c r="J19" s="25"/>
      <c r="K19" s="26"/>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x14ac:dyDescent="0.25">
      <c r="A20" s="11">
        <v>0.75</v>
      </c>
      <c r="B20" s="19" t="s">
        <v>14</v>
      </c>
      <c r="C20" s="9"/>
      <c r="D20" s="25"/>
      <c r="E20" s="25"/>
      <c r="F20" s="25"/>
      <c r="G20" s="25"/>
      <c r="H20" s="25"/>
      <c r="I20" s="25"/>
      <c r="J20" s="25"/>
      <c r="K20" s="26"/>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x14ac:dyDescent="0.25">
      <c r="A21" s="11"/>
      <c r="B21" s="19" t="s">
        <v>15</v>
      </c>
      <c r="C21" s="9"/>
      <c r="D21" s="25"/>
      <c r="E21" s="25"/>
      <c r="F21" s="25"/>
      <c r="G21" s="25"/>
      <c r="H21" s="25"/>
      <c r="I21" s="25"/>
      <c r="J21" s="25"/>
      <c r="K21" s="26"/>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thickBot="1" x14ac:dyDescent="0.3">
      <c r="A22" s="28"/>
      <c r="B22" s="29"/>
      <c r="C22" s="30"/>
      <c r="D22" s="31"/>
      <c r="E22" s="31"/>
      <c r="F22" s="31"/>
      <c r="G22" s="31"/>
      <c r="H22" s="31"/>
      <c r="I22" s="31"/>
      <c r="J22" s="31"/>
      <c r="K22" s="32"/>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x14ac:dyDescent="0.25">
      <c r="A24" s="7"/>
      <c r="B24" s="7" t="s">
        <v>10</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x14ac:dyDescent="0.25">
      <c r="A25" s="7"/>
      <c r="B25" s="7" t="s">
        <v>24</v>
      </c>
      <c r="C25" s="7"/>
      <c r="D25" s="7"/>
      <c r="E25" s="7">
        <f>(4*6/12)+(2*6/12)</f>
        <v>3</v>
      </c>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x14ac:dyDescent="0.25">
      <c r="A26" s="7"/>
      <c r="B26" s="7" t="s">
        <v>25</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x14ac:dyDescent="0.25">
      <c r="A27" s="7"/>
      <c r="B27" s="7" t="s">
        <v>26</v>
      </c>
      <c r="C27" s="7"/>
      <c r="D27" s="7"/>
      <c r="E27" s="7">
        <f>(4*6/12)+(2*3/12)</f>
        <v>2.5</v>
      </c>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x14ac:dyDescent="0.25">
      <c r="A28" s="7"/>
      <c r="B28" s="7" t="s">
        <v>27</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x14ac:dyDescent="0.25">
      <c r="A29" s="7"/>
      <c r="B29" s="7" t="s">
        <v>28</v>
      </c>
      <c r="C29" s="7"/>
      <c r="D29" s="7"/>
      <c r="E29" s="7">
        <v>4</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x14ac:dyDescent="0.25">
      <c r="A30" s="7"/>
      <c r="B30" s="7" t="s">
        <v>14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x14ac:dyDescent="0.25">
      <c r="A31" s="7"/>
      <c r="B31" s="7" t="s">
        <v>29</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x14ac:dyDescent="0.25">
      <c r="A32" s="7"/>
      <c r="B32" s="7"/>
      <c r="C32" s="7" t="s">
        <v>30</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x14ac:dyDescent="0.25">
      <c r="A33" s="7"/>
      <c r="B33" s="7"/>
      <c r="C33" s="7" t="s">
        <v>31</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x14ac:dyDescent="0.25">
      <c r="A34" s="7"/>
      <c r="B34" s="7"/>
      <c r="C34" s="7" t="s">
        <v>32</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x14ac:dyDescent="0.25">
      <c r="A35" s="7"/>
      <c r="B35" s="7" t="s">
        <v>33</v>
      </c>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x14ac:dyDescent="0.25">
      <c r="A36" s="7"/>
      <c r="B36" s="7"/>
      <c r="C36" s="7" t="s">
        <v>34</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x14ac:dyDescent="0.25">
      <c r="A37" s="7"/>
      <c r="B37" s="7"/>
      <c r="C37" s="7" t="s">
        <v>35</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x14ac:dyDescent="0.25">
      <c r="A38" s="7"/>
      <c r="B38" s="7" t="s">
        <v>36</v>
      </c>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25">
      <c r="A39" s="7"/>
      <c r="B39" s="7"/>
      <c r="C39" s="7" t="s">
        <v>37</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x14ac:dyDescent="0.25">
      <c r="A40" s="7"/>
      <c r="B40" s="7"/>
      <c r="C40" s="7" t="s">
        <v>38</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x14ac:dyDescent="0.25"/>
    <row r="202" spans="1:52" hidden="1" x14ac:dyDescent="0.25"/>
    <row r="203" spans="1:52" hidden="1" x14ac:dyDescent="0.25"/>
    <row r="204" spans="1:52" hidden="1" x14ac:dyDescent="0.25"/>
    <row r="205" spans="1:52" hidden="1" x14ac:dyDescent="0.25"/>
    <row r="206" spans="1:52" x14ac:dyDescent="0.25"/>
    <row r="207" spans="1:52" x14ac:dyDescent="0.25"/>
    <row r="208" spans="1:52" x14ac:dyDescent="0.25"/>
    <row r="209" x14ac:dyDescent="0.25"/>
    <row r="210" x14ac:dyDescent="0.25"/>
  </sheetData>
  <conditionalFormatting sqref="B1">
    <cfRule type="cellIs" dxfId="246" priority="1" operator="equal">
      <formula>"Review Later"</formula>
    </cfRule>
    <cfRule type="cellIs" dxfId="245" priority="2" operator="equal">
      <formula>"Finished"</formula>
    </cfRule>
    <cfRule type="cellIs" dxfId="244" priority="3" operator="equal">
      <formula>"Incomplete"</formula>
    </cfRule>
  </conditionalFormatting>
  <pageMargins left="0.7" right="0.7" top="0.75" bottom="0.75" header="0.3" footer="0.3"/>
  <pageSetup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x14ac:dyDescent="0.25"/>
  <cols>
    <col min="1" max="1" width="11.6640625" style="1" customWidth="1"/>
    <col min="2" max="2" width="14.88671875" style="1" customWidth="1"/>
    <col min="3" max="52" width="12.109375" style="1" customWidth="1"/>
    <col min="53" max="55" width="0" style="1" hidden="1" customWidth="1"/>
    <col min="56" max="16384" width="12.109375" style="1" hidden="1"/>
  </cols>
  <sheetData>
    <row r="1" spans="1:52" ht="14.85" customHeight="1" thickBot="1" x14ac:dyDescent="0.3">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thickBot="1" x14ac:dyDescent="0.3">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x14ac:dyDescent="0.3">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x14ac:dyDescent="0.3">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x14ac:dyDescent="0.25">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x14ac:dyDescent="0.25">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x14ac:dyDescent="0.25">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x14ac:dyDescent="0.25">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x14ac:dyDescent="0.25">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x14ac:dyDescent="0.3">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t="s">
        <v>0</v>
      </c>
      <c r="B27" s="7" t="s">
        <v>1025</v>
      </c>
      <c r="C27" s="7"/>
      <c r="D27" s="7"/>
      <c r="E27" s="7"/>
      <c r="F27" s="7"/>
      <c r="G27" s="7"/>
      <c r="H27" s="453">
        <f>B12/SUM(F9:H9)*SUM(C9:E9)</f>
        <v>23261.237785016285</v>
      </c>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t="s">
        <v>1024</v>
      </c>
      <c r="C28" s="581"/>
      <c r="D28" s="581"/>
      <c r="E28" s="581"/>
      <c r="F28" s="7"/>
      <c r="G28" s="7"/>
      <c r="H28" s="453">
        <f>B12/SUM(F10:H10)*SUM(C10:E10)</f>
        <v>10866.839826839827</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c r="C29" s="581"/>
      <c r="D29" s="581"/>
      <c r="E29" s="581"/>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t="s">
        <v>1</v>
      </c>
      <c r="B31" s="7" t="s">
        <v>1023</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t="s">
        <v>1022</v>
      </c>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t="s">
        <v>2</v>
      </c>
      <c r="B34" s="7" t="s">
        <v>1021</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826" t="s">
        <v>1020</v>
      </c>
      <c r="C35" s="826"/>
      <c r="D35" s="826"/>
      <c r="E35" s="826"/>
      <c r="F35" s="826"/>
      <c r="G35" s="826"/>
      <c r="H35" s="826"/>
      <c r="I35" s="826"/>
      <c r="J35" s="826"/>
      <c r="K35" s="826"/>
      <c r="L35" s="826"/>
      <c r="M35" s="826"/>
      <c r="N35" s="826"/>
      <c r="O35" s="826"/>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826"/>
      <c r="C36" s="826"/>
      <c r="D36" s="826"/>
      <c r="E36" s="826"/>
      <c r="F36" s="826"/>
      <c r="G36" s="826"/>
      <c r="H36" s="826"/>
      <c r="I36" s="826"/>
      <c r="J36" s="826"/>
      <c r="K36" s="826"/>
      <c r="L36" s="826"/>
      <c r="M36" s="826"/>
      <c r="N36" s="826"/>
      <c r="O36" s="826"/>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t="s">
        <v>3</v>
      </c>
      <c r="B37" s="7" t="s">
        <v>1019</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t="s">
        <v>1018</v>
      </c>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t="s">
        <v>1017</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t="s">
        <v>1016</v>
      </c>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mergeCells count="2">
    <mergeCell ref="C7:E7"/>
    <mergeCell ref="F7:H7"/>
  </mergeCells>
  <conditionalFormatting sqref="B1">
    <cfRule type="cellIs" dxfId="219" priority="1" operator="equal">
      <formula>"Review Later"</formula>
    </cfRule>
    <cfRule type="cellIs" dxfId="218" priority="2" operator="equal">
      <formula>"Finished"</formula>
    </cfRule>
    <cfRule type="cellIs" dxfId="217" priority="3" operator="equal">
      <formula>"Incomplete"</formula>
    </cfRule>
  </conditionalFormatting>
  <pageMargins left="0.7" right="0.7" top="0.75" bottom="0.75" header="0.51180555555555496" footer="0.51180555555555496"/>
  <pageSetup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1" customWidth="1"/>
    <col min="2" max="2" width="14.88671875" style="1" customWidth="1"/>
    <col min="3" max="7" width="12.109375" style="1" customWidth="1"/>
    <col min="8" max="8" width="21.109375" style="1" customWidth="1"/>
    <col min="9" max="52" width="12.109375" style="1" customWidth="1"/>
    <col min="53" max="55" width="0" style="1" hidden="1" customWidth="1"/>
    <col min="56" max="16384" width="12.109375" style="1" hidden="1"/>
  </cols>
  <sheetData>
    <row r="1" spans="1:52" ht="14.85" customHeight="1" thickBot="1" x14ac:dyDescent="0.3">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thickBot="1" x14ac:dyDescent="0.3">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x14ac:dyDescent="0.3">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x14ac:dyDescent="0.3">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x14ac:dyDescent="0.25">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x14ac:dyDescent="0.25">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x14ac:dyDescent="0.25">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x14ac:dyDescent="0.25">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x14ac:dyDescent="0.25">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x14ac:dyDescent="0.3">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t="s">
        <v>445</v>
      </c>
      <c r="B27" s="324" t="s">
        <v>1007</v>
      </c>
      <c r="C27" s="7"/>
      <c r="D27" s="7"/>
      <c r="E27" s="7"/>
      <c r="F27" s="7" t="s">
        <v>1032</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t="s">
        <v>1013</v>
      </c>
      <c r="C28" s="7">
        <v>2015</v>
      </c>
      <c r="D28" s="7">
        <v>2016</v>
      </c>
      <c r="E28" s="7">
        <v>2017</v>
      </c>
      <c r="F28" s="7" t="s">
        <v>216</v>
      </c>
      <c r="G28" s="7" t="s">
        <v>1031</v>
      </c>
      <c r="H28" s="7" t="s">
        <v>1030</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t="s">
        <v>1006</v>
      </c>
      <c r="C29" s="563">
        <f t="shared" ref="C29:E30" si="0">F9/C9</f>
        <v>5.0999999999999997E-2</v>
      </c>
      <c r="D29" s="563">
        <f t="shared" si="0"/>
        <v>4.583333333333333E-2</v>
      </c>
      <c r="E29" s="563">
        <f t="shared" si="0"/>
        <v>4.3181818181818182E-2</v>
      </c>
      <c r="F29" s="562">
        <f>E29</f>
        <v>4.3181818181818182E-2</v>
      </c>
      <c r="G29" s="7">
        <v>1082</v>
      </c>
      <c r="H29" s="473">
        <f>G29/F29</f>
        <v>25056.842105263157</v>
      </c>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1003</v>
      </c>
      <c r="C30" s="563">
        <f t="shared" si="0"/>
        <v>9.4444444444444442E-2</v>
      </c>
      <c r="D30" s="563">
        <f t="shared" si="0"/>
        <v>0.1</v>
      </c>
      <c r="E30" s="563">
        <f t="shared" si="0"/>
        <v>0.10394736842105264</v>
      </c>
      <c r="F30" s="562">
        <f>E30</f>
        <v>0.10394736842105264</v>
      </c>
      <c r="G30" s="7">
        <v>1082</v>
      </c>
      <c r="H30" s="473">
        <f>G30/F30</f>
        <v>10409.113924050633</v>
      </c>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t="s">
        <v>446</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t="s">
        <v>1029</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t="s">
        <v>479</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t="s">
        <v>1028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t="s">
        <v>1027</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t="s">
        <v>661</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t="s">
        <v>1026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mergeCells count="2">
    <mergeCell ref="C7:E7"/>
    <mergeCell ref="F7:H7"/>
  </mergeCells>
  <conditionalFormatting sqref="B1">
    <cfRule type="cellIs" dxfId="216" priority="1" operator="equal">
      <formula>"Review Later"</formula>
    </cfRule>
    <cfRule type="cellIs" dxfId="215" priority="2" operator="equal">
      <formula>"Finished"</formula>
    </cfRule>
    <cfRule type="cellIs" dxfId="214" priority="3" operator="equal">
      <formula>"Incomplete"</formula>
    </cfRule>
  </conditionalFormatting>
  <pageMargins left="0.7" right="0.7" top="0.75" bottom="0.75" header="0.51180555555555496" footer="0.51180555555555496"/>
  <pageSetup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heetViews>
  <sheetFormatPr defaultRowHeight="14.4" x14ac:dyDescent="0.3"/>
  <cols>
    <col min="1" max="1" width="7.77734375" customWidth="1"/>
    <col min="2" max="2" width="14.44140625" customWidth="1"/>
    <col min="3" max="3" width="21.109375" customWidth="1"/>
    <col min="4" max="4" width="16.44140625" customWidth="1"/>
    <col min="5" max="5" width="23.4414062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ht="15" thickBot="1" x14ac:dyDescent="0.35">
      <c r="A8" s="835"/>
      <c r="B8" s="845" t="s">
        <v>90</v>
      </c>
      <c r="C8" s="844" t="s">
        <v>1048</v>
      </c>
      <c r="D8" s="58" t="s">
        <v>91</v>
      </c>
      <c r="E8" s="59" t="s">
        <v>92</v>
      </c>
      <c r="F8" s="58" t="s">
        <v>91</v>
      </c>
      <c r="G8" s="59" t="s">
        <v>92</v>
      </c>
      <c r="H8" s="58" t="s">
        <v>91</v>
      </c>
      <c r="I8" s="59" t="s">
        <v>92</v>
      </c>
      <c r="J8" s="53"/>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x14ac:dyDescent="0.3">
      <c r="A31" s="78"/>
      <c r="B31" s="78"/>
      <c r="C31" s="78"/>
      <c r="D31" s="78"/>
      <c r="E31" s="78"/>
      <c r="F31" s="78"/>
      <c r="G31" s="78"/>
      <c r="H31" s="78"/>
      <c r="I31" s="78"/>
      <c r="J31" s="78"/>
    </row>
    <row r="32" spans="1:10" x14ac:dyDescent="0.3">
      <c r="A32" s="78"/>
      <c r="B32" s="78"/>
      <c r="C32" s="78"/>
      <c r="D32" s="78"/>
      <c r="E32" s="78"/>
      <c r="F32" s="78"/>
      <c r="G32" s="78"/>
      <c r="H32" s="78"/>
      <c r="I32" s="78"/>
      <c r="J32" s="78"/>
    </row>
    <row r="33" spans="1:10" ht="15" thickBot="1" x14ac:dyDescent="0.35">
      <c r="A33" s="78"/>
      <c r="B33" s="78"/>
      <c r="C33" s="78"/>
      <c r="D33" s="78"/>
      <c r="E33" s="78"/>
      <c r="F33" s="78"/>
      <c r="G33" s="78"/>
      <c r="H33" s="78"/>
      <c r="I33" s="78"/>
      <c r="J33" s="78"/>
    </row>
    <row r="34" spans="1:10" x14ac:dyDescent="0.3">
      <c r="A34" s="78"/>
      <c r="B34" s="831" t="s">
        <v>1036</v>
      </c>
      <c r="C34" s="79" t="s">
        <v>1035</v>
      </c>
      <c r="D34" s="79"/>
      <c r="E34" s="79"/>
      <c r="F34" s="79"/>
      <c r="G34" s="79"/>
      <c r="H34" s="79"/>
      <c r="I34" s="80"/>
      <c r="J34" s="78"/>
    </row>
    <row r="35" spans="1:10" x14ac:dyDescent="0.3">
      <c r="A35" s="78"/>
      <c r="B35" s="828"/>
      <c r="C35" s="81"/>
      <c r="D35" s="81"/>
      <c r="E35" s="81"/>
      <c r="F35" s="81"/>
      <c r="G35" s="81"/>
      <c r="H35" s="81"/>
      <c r="I35" s="82"/>
      <c r="J35" s="78"/>
    </row>
    <row r="36" spans="1:10" x14ac:dyDescent="0.3">
      <c r="A36" s="78"/>
      <c r="B36" s="828"/>
      <c r="C36" s="83" t="s">
        <v>1034</v>
      </c>
      <c r="D36" s="83" t="s">
        <v>93</v>
      </c>
      <c r="E36" s="81"/>
      <c r="F36" s="81"/>
      <c r="G36" s="81"/>
      <c r="H36" s="81"/>
      <c r="I36" s="82"/>
      <c r="J36" s="78"/>
    </row>
    <row r="37" spans="1:10" x14ac:dyDescent="0.3">
      <c r="A37" s="78"/>
      <c r="B37" s="830" t="s">
        <v>94</v>
      </c>
      <c r="C37" s="83" t="s">
        <v>1033</v>
      </c>
      <c r="D37" s="83" t="s">
        <v>95</v>
      </c>
      <c r="E37" s="81"/>
      <c r="F37" s="81"/>
      <c r="G37" s="81"/>
      <c r="H37" s="81"/>
      <c r="I37" s="82"/>
      <c r="J37" s="78"/>
    </row>
    <row r="38" spans="1:10" x14ac:dyDescent="0.3">
      <c r="A38" s="78"/>
      <c r="B38" s="830">
        <v>2014</v>
      </c>
      <c r="C38" s="829">
        <f>SUM(E9:E10,I9)</f>
        <v>107000000</v>
      </c>
      <c r="D38" s="84">
        <f>SUM(E9,I9)+B16*D10</f>
        <v>105000000</v>
      </c>
      <c r="E38" s="81"/>
      <c r="F38" s="81"/>
      <c r="G38" s="81"/>
      <c r="H38" s="81"/>
      <c r="I38" s="82"/>
      <c r="J38" s="78"/>
    </row>
    <row r="39" spans="1:10" x14ac:dyDescent="0.3">
      <c r="A39" s="78"/>
      <c r="B39" s="830">
        <v>2015</v>
      </c>
      <c r="C39" s="829">
        <f>SUM(E11:E12,I11:I12)</f>
        <v>107445000</v>
      </c>
      <c r="D39" s="84">
        <f>SUM(E11,I11)+B16*SUM(D12,H12)</f>
        <v>104625000</v>
      </c>
      <c r="E39" s="81"/>
      <c r="F39" s="81"/>
      <c r="G39" s="81"/>
      <c r="H39" s="81"/>
      <c r="I39" s="82"/>
      <c r="J39" s="78"/>
    </row>
    <row r="40" spans="1:10" x14ac:dyDescent="0.3">
      <c r="A40" s="78"/>
      <c r="B40" s="830">
        <v>2016</v>
      </c>
      <c r="C40" s="829">
        <f>SUM(E13:E14)-1000000+I13</f>
        <v>112667750</v>
      </c>
      <c r="D40" s="84">
        <f>SUM(E13,I13)+B16*(D14-1)</f>
        <v>111776250</v>
      </c>
      <c r="E40" s="81"/>
      <c r="F40" s="81"/>
      <c r="G40" s="81"/>
      <c r="H40" s="81"/>
      <c r="I40" s="82"/>
      <c r="J40" s="78"/>
    </row>
    <row r="41" spans="1:10" x14ac:dyDescent="0.3">
      <c r="A41" s="78"/>
      <c r="B41" s="828"/>
      <c r="C41" s="81"/>
      <c r="D41" s="81"/>
      <c r="E41" s="81"/>
      <c r="F41" s="81"/>
      <c r="G41" s="81"/>
      <c r="H41" s="81"/>
      <c r="I41" s="82"/>
      <c r="J41" s="78"/>
    </row>
    <row r="42" spans="1:10" x14ac:dyDescent="0.3">
      <c r="A42" s="78"/>
      <c r="B42" s="828"/>
      <c r="C42" s="81"/>
      <c r="D42" s="85" t="s">
        <v>96</v>
      </c>
      <c r="E42" s="86">
        <f>SUM(C38:C40)/SUM(D38:D40)</f>
        <v>1.0177706216139484</v>
      </c>
      <c r="F42" s="81"/>
      <c r="G42" s="81"/>
      <c r="H42" s="81"/>
      <c r="I42" s="82"/>
      <c r="J42" s="78"/>
    </row>
    <row r="43" spans="1:10" ht="15" thickBot="1" x14ac:dyDescent="0.35">
      <c r="A43" s="78"/>
      <c r="B43" s="827"/>
      <c r="C43" s="87"/>
      <c r="D43" s="87"/>
      <c r="E43" s="87"/>
      <c r="F43" s="87"/>
      <c r="G43" s="87"/>
      <c r="H43" s="87"/>
      <c r="I43" s="88"/>
      <c r="J43" s="78"/>
    </row>
    <row r="47" spans="1:10" x14ac:dyDescent="0.3">
      <c r="D47" s="89"/>
    </row>
    <row r="48" spans="1:10" x14ac:dyDescent="0.3">
      <c r="D48" s="89"/>
    </row>
  </sheetData>
  <mergeCells count="4">
    <mergeCell ref="D6:I6"/>
    <mergeCell ref="D7:E7"/>
    <mergeCell ref="F7:G7"/>
    <mergeCell ref="H7:I7"/>
  </mergeCells>
  <conditionalFormatting sqref="B1">
    <cfRule type="cellIs" dxfId="213" priority="1" operator="equal">
      <formula>"Review Later"</formula>
    </cfRule>
    <cfRule type="cellIs" dxfId="212" priority="2" operator="equal">
      <formula>"Finished"</formula>
    </cfRule>
    <cfRule type="cellIs" dxfId="211" priority="3" operator="equal">
      <formula>"Incomplete"</formula>
    </cfRule>
  </conditionalFormatting>
  <pageMargins left="0.7" right="0.7" top="0.75" bottom="0.75" header="0.3" footer="0.3"/>
  <pageSetup orientation="portrait" r:id="rId1"/>
  <rowBreaks count="1" manualBreakCount="1">
    <brk id="12" max="16383" man="1"/>
  </rowBreaks>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heetViews>
  <sheetFormatPr defaultRowHeight="14.4" x14ac:dyDescent="0.3"/>
  <cols>
    <col min="1" max="1" width="23.109375" customWidth="1"/>
    <col min="2" max="2" width="15.109375" customWidth="1"/>
    <col min="3" max="3" width="15.6640625" customWidth="1"/>
    <col min="4" max="4" width="15" customWidth="1"/>
    <col min="5" max="5" width="23.4414062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s="93" customFormat="1" ht="15" thickBot="1" x14ac:dyDescent="0.35">
      <c r="A8" s="856"/>
      <c r="B8" s="855" t="s">
        <v>90</v>
      </c>
      <c r="C8" s="854" t="s">
        <v>1048</v>
      </c>
      <c r="D8" s="90" t="s">
        <v>91</v>
      </c>
      <c r="E8" s="91" t="s">
        <v>92</v>
      </c>
      <c r="F8" s="90" t="s">
        <v>91</v>
      </c>
      <c r="G8" s="91" t="s">
        <v>92</v>
      </c>
      <c r="H8" s="90" t="s">
        <v>91</v>
      </c>
      <c r="I8" s="91" t="s">
        <v>92</v>
      </c>
      <c r="J8" s="92"/>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x14ac:dyDescent="0.3">
      <c r="A31" s="78" t="s">
        <v>0</v>
      </c>
      <c r="B31" s="78"/>
      <c r="C31" s="78"/>
      <c r="D31" s="78"/>
      <c r="E31" s="78"/>
      <c r="F31" s="78"/>
      <c r="G31" s="78"/>
      <c r="H31" s="78"/>
      <c r="I31" s="78"/>
      <c r="J31" s="78"/>
    </row>
    <row r="32" spans="1:10" x14ac:dyDescent="0.3">
      <c r="A32" s="78" t="s">
        <v>1053</v>
      </c>
      <c r="B32" s="78">
        <f>SUM(E9,E11,E13,I9,I11,I13)+500000*SUM(D10,D12,D14,H12,-1)</f>
        <v>321401250</v>
      </c>
      <c r="C32" s="78"/>
      <c r="D32" s="78"/>
      <c r="E32" s="78"/>
      <c r="F32" s="78"/>
      <c r="G32" s="78"/>
      <c r="H32" s="78"/>
      <c r="I32" s="78"/>
      <c r="J32" s="78"/>
    </row>
    <row r="33" spans="1:10" x14ac:dyDescent="0.3">
      <c r="A33" s="78" t="s">
        <v>1052</v>
      </c>
      <c r="B33" s="78">
        <f>SUM(E10,E12,E14,I12)-500000*SUM(D10,D12,D14,H12)-500000</f>
        <v>5711500</v>
      </c>
      <c r="C33" s="78"/>
      <c r="D33" s="78"/>
      <c r="E33" s="78"/>
      <c r="F33" s="78"/>
      <c r="G33" s="78"/>
      <c r="H33" s="78"/>
      <c r="I33" s="78"/>
      <c r="J33" s="78"/>
    </row>
    <row r="34" spans="1:10" x14ac:dyDescent="0.3">
      <c r="A34" s="78" t="s">
        <v>1051</v>
      </c>
      <c r="B34" s="853">
        <f>B33/B32</f>
        <v>1.7770621613948295E-2</v>
      </c>
      <c r="C34" s="94"/>
      <c r="D34" s="78"/>
      <c r="E34" s="78"/>
      <c r="F34" s="78"/>
      <c r="G34" s="78"/>
      <c r="H34" s="78"/>
      <c r="I34" s="78"/>
      <c r="J34" s="78"/>
    </row>
    <row r="35" spans="1:10" x14ac:dyDescent="0.3">
      <c r="A35" s="852" t="s">
        <v>1050</v>
      </c>
      <c r="B35" s="851">
        <f>1+B34</f>
        <v>1.0177706216139484</v>
      </c>
      <c r="C35" s="78"/>
      <c r="D35" s="78"/>
      <c r="E35" s="78"/>
      <c r="F35" s="78"/>
      <c r="G35" s="78"/>
      <c r="H35" s="78"/>
      <c r="I35" s="78"/>
      <c r="J35" s="78"/>
    </row>
  </sheetData>
  <mergeCells count="4">
    <mergeCell ref="D6:I6"/>
    <mergeCell ref="D7:E7"/>
    <mergeCell ref="F7:G7"/>
    <mergeCell ref="H7:I7"/>
  </mergeCells>
  <conditionalFormatting sqref="B1">
    <cfRule type="cellIs" dxfId="210" priority="1" operator="equal">
      <formula>"Review Later"</formula>
    </cfRule>
    <cfRule type="cellIs" dxfId="209" priority="2" operator="equal">
      <formula>"Finished"</formula>
    </cfRule>
    <cfRule type="cellIs" dxfId="208" priority="3" operator="equal">
      <formula>"Incomplete"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RowHeight="14.4" x14ac:dyDescent="0.3"/>
  <cols>
    <col min="2" max="2" width="12.44140625" customWidth="1"/>
    <col min="3" max="3" width="13.6640625" customWidth="1"/>
    <col min="4" max="4" width="15" customWidth="1"/>
    <col min="5" max="5" width="23.4414062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s="93" customFormat="1" ht="28.8" thickBot="1" x14ac:dyDescent="0.35">
      <c r="A8" s="856"/>
      <c r="B8" s="855" t="s">
        <v>90</v>
      </c>
      <c r="C8" s="854" t="s">
        <v>1048</v>
      </c>
      <c r="D8" s="90" t="s">
        <v>91</v>
      </c>
      <c r="E8" s="91" t="s">
        <v>92</v>
      </c>
      <c r="F8" s="90" t="s">
        <v>91</v>
      </c>
      <c r="G8" s="91" t="s">
        <v>92</v>
      </c>
      <c r="H8" s="90" t="s">
        <v>91</v>
      </c>
      <c r="I8" s="91" t="s">
        <v>92</v>
      </c>
      <c r="J8" s="92"/>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x14ac:dyDescent="0.3">
      <c r="A31" s="78"/>
      <c r="B31" s="78"/>
      <c r="C31" s="78"/>
      <c r="D31" s="78"/>
      <c r="E31" s="78"/>
      <c r="F31" s="78"/>
      <c r="G31" s="78"/>
      <c r="H31" s="78"/>
      <c r="I31" s="78"/>
      <c r="J31" s="78"/>
    </row>
    <row r="32" spans="1:10" x14ac:dyDescent="0.3">
      <c r="A32" s="78"/>
      <c r="B32" s="78" t="s">
        <v>0</v>
      </c>
      <c r="C32" s="78" t="s">
        <v>1057</v>
      </c>
      <c r="D32" s="78"/>
      <c r="E32" s="78"/>
      <c r="F32" s="78"/>
      <c r="G32" s="78"/>
      <c r="H32" s="78"/>
      <c r="I32" s="78"/>
      <c r="J32" s="78"/>
    </row>
    <row r="33" spans="1:10" x14ac:dyDescent="0.3">
      <c r="A33" s="78"/>
      <c r="B33" s="78"/>
      <c r="C33" s="78"/>
      <c r="D33" s="78"/>
      <c r="E33" s="78"/>
      <c r="F33" s="78"/>
      <c r="G33" s="78"/>
      <c r="H33" s="78"/>
      <c r="I33" s="78"/>
      <c r="J33" s="78"/>
    </row>
    <row r="34" spans="1:10" x14ac:dyDescent="0.3">
      <c r="A34" s="78"/>
      <c r="B34" s="78" t="s">
        <v>1056</v>
      </c>
      <c r="C34" s="78"/>
      <c r="D34" s="78"/>
      <c r="E34" s="78"/>
      <c r="F34" s="95">
        <f>1+D36/(D35-D36)</f>
        <v>1.0227208945164463</v>
      </c>
      <c r="G34" s="78"/>
      <c r="H34" s="78"/>
      <c r="I34" s="78"/>
      <c r="J34" s="78"/>
    </row>
    <row r="35" spans="1:10" x14ac:dyDescent="0.3">
      <c r="A35" s="78"/>
      <c r="B35" s="78" t="s">
        <v>1055</v>
      </c>
      <c r="C35" s="78"/>
      <c r="D35" s="94">
        <f>SUM(E9:E14,G9:G10,I9:I13)</f>
        <v>347112750</v>
      </c>
      <c r="E35" s="78"/>
      <c r="F35" s="78"/>
      <c r="G35" s="78"/>
      <c r="H35" s="78"/>
      <c r="I35" s="78"/>
      <c r="J35" s="78"/>
    </row>
    <row r="36" spans="1:10" x14ac:dyDescent="0.3">
      <c r="A36" s="78"/>
      <c r="B36" s="78" t="s">
        <v>1054</v>
      </c>
      <c r="C36" s="78"/>
      <c r="D36" s="96">
        <f>SUM(E10,E12,E14,G10,I12)-SUM(D10,D12,D14,F10,H12)*500000</f>
        <v>7711500</v>
      </c>
      <c r="E36" s="78"/>
      <c r="F36" s="78"/>
      <c r="G36" s="78"/>
      <c r="H36" s="78"/>
      <c r="I36" s="78"/>
      <c r="J36" s="78"/>
    </row>
    <row r="37" spans="1:10" x14ac:dyDescent="0.3">
      <c r="A37" s="78"/>
      <c r="B37" s="78"/>
      <c r="C37" s="78"/>
      <c r="D37" s="78"/>
      <c r="E37" s="78"/>
      <c r="F37" s="78"/>
      <c r="G37" s="78"/>
      <c r="H37" s="78"/>
      <c r="I37" s="78"/>
      <c r="J37" s="78"/>
    </row>
    <row r="38" spans="1:10" x14ac:dyDescent="0.3">
      <c r="A38" s="78"/>
      <c r="B38" s="78"/>
      <c r="C38" s="78"/>
      <c r="D38" s="78"/>
      <c r="E38" s="78"/>
      <c r="F38" s="78"/>
      <c r="G38" s="78"/>
      <c r="H38" s="78"/>
      <c r="I38" s="78"/>
      <c r="J38" s="78"/>
    </row>
    <row r="39" spans="1:10" x14ac:dyDescent="0.3">
      <c r="A39" s="78"/>
      <c r="B39" s="78"/>
      <c r="C39" s="78"/>
      <c r="D39" s="78"/>
      <c r="E39" s="78"/>
      <c r="F39" s="78"/>
      <c r="G39" s="78"/>
      <c r="H39" s="78"/>
      <c r="I39" s="78"/>
      <c r="J39" s="78"/>
    </row>
    <row r="40" spans="1:10" x14ac:dyDescent="0.3">
      <c r="A40" s="78"/>
      <c r="B40" s="78"/>
      <c r="C40" s="78"/>
      <c r="D40" s="78"/>
      <c r="E40" s="78"/>
      <c r="F40" s="78"/>
      <c r="G40" s="78"/>
      <c r="H40" s="78"/>
      <c r="I40" s="78"/>
      <c r="J40" s="78"/>
    </row>
    <row r="41" spans="1:10" x14ac:dyDescent="0.3">
      <c r="A41" s="78"/>
      <c r="B41" s="78"/>
      <c r="C41" s="78"/>
      <c r="D41" s="78"/>
      <c r="E41" s="78"/>
      <c r="F41" s="78"/>
      <c r="G41" s="78"/>
      <c r="H41" s="78"/>
      <c r="I41" s="78"/>
      <c r="J41" s="78"/>
    </row>
    <row r="42" spans="1:10" x14ac:dyDescent="0.3">
      <c r="A42" s="78"/>
      <c r="B42" s="78"/>
      <c r="C42" s="78"/>
      <c r="D42" s="78"/>
      <c r="E42" s="78"/>
      <c r="F42" s="78"/>
      <c r="G42" s="78"/>
      <c r="H42" s="78"/>
      <c r="I42" s="78"/>
      <c r="J42" s="78"/>
    </row>
    <row r="43" spans="1:10" x14ac:dyDescent="0.3">
      <c r="A43" s="78"/>
      <c r="B43" s="78"/>
      <c r="C43" s="78"/>
      <c r="D43" s="78"/>
      <c r="E43" s="78"/>
      <c r="F43" s="78"/>
      <c r="G43" s="78"/>
      <c r="H43" s="78"/>
      <c r="I43" s="78"/>
      <c r="J43" s="78"/>
    </row>
    <row r="44" spans="1:10" x14ac:dyDescent="0.3">
      <c r="A44" s="78"/>
      <c r="B44" s="78"/>
      <c r="C44" s="78"/>
      <c r="D44" s="78"/>
      <c r="E44" s="78"/>
      <c r="F44" s="78"/>
      <c r="G44" s="78"/>
      <c r="H44" s="78"/>
      <c r="I44" s="78"/>
      <c r="J44" s="78"/>
    </row>
  </sheetData>
  <mergeCells count="4">
    <mergeCell ref="D6:I6"/>
    <mergeCell ref="D7:E7"/>
    <mergeCell ref="F7:G7"/>
    <mergeCell ref="H7:I7"/>
  </mergeCells>
  <conditionalFormatting sqref="B1">
    <cfRule type="cellIs" dxfId="207" priority="1" operator="equal">
      <formula>"Review Later"</formula>
    </cfRule>
    <cfRule type="cellIs" dxfId="206" priority="2" operator="equal">
      <formula>"Finished"</formula>
    </cfRule>
    <cfRule type="cellIs" dxfId="205" priority="3" operator="equal">
      <formula>"Incomplete"</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workbookViewId="0"/>
  </sheetViews>
  <sheetFormatPr defaultRowHeight="14.4" x14ac:dyDescent="0.3"/>
  <cols>
    <col min="1" max="1" width="7.77734375" customWidth="1"/>
    <col min="2" max="2" width="20" customWidth="1"/>
    <col min="3" max="3" width="22.109375" customWidth="1"/>
    <col min="4" max="4" width="15" customWidth="1"/>
    <col min="5" max="5" width="23.44140625" customWidth="1"/>
    <col min="6" max="6" width="15" customWidth="1"/>
    <col min="7" max="7" width="23.44140625" customWidth="1"/>
    <col min="8" max="8" width="15" customWidth="1"/>
    <col min="9" max="9" width="23.44140625" customWidth="1"/>
    <col min="11" max="11" width="25.6640625" customWidth="1"/>
    <col min="12" max="12" width="23.21875" customWidth="1"/>
  </cols>
  <sheetData>
    <row r="1" spans="1:15" ht="15" thickBot="1" x14ac:dyDescent="0.35">
      <c r="A1" s="3">
        <v>5</v>
      </c>
      <c r="B1" s="4"/>
      <c r="C1" s="848"/>
      <c r="D1" s="848"/>
      <c r="E1" s="848"/>
      <c r="F1" s="848"/>
      <c r="G1" s="848"/>
      <c r="H1" s="848"/>
      <c r="I1" s="848"/>
      <c r="J1" s="850"/>
      <c r="K1" s="78"/>
      <c r="L1" s="78"/>
      <c r="M1" s="78"/>
      <c r="N1" s="78"/>
      <c r="O1" s="78"/>
    </row>
    <row r="2" spans="1:15" x14ac:dyDescent="0.3">
      <c r="A2" s="849" t="s">
        <v>4</v>
      </c>
      <c r="B2" s="848"/>
      <c r="C2" s="12"/>
      <c r="D2" s="12"/>
      <c r="E2" s="12"/>
      <c r="F2" s="12"/>
      <c r="G2" s="12"/>
      <c r="H2" s="12"/>
      <c r="I2" s="12"/>
      <c r="J2" s="53"/>
      <c r="K2" s="78"/>
      <c r="L2" s="78"/>
      <c r="M2" s="78"/>
      <c r="N2" s="78"/>
      <c r="O2" s="78"/>
    </row>
    <row r="3" spans="1:15" x14ac:dyDescent="0.3">
      <c r="A3" s="834">
        <v>2</v>
      </c>
      <c r="B3" s="847"/>
      <c r="C3" s="12"/>
      <c r="D3" s="12"/>
      <c r="E3" s="12"/>
      <c r="F3" s="12"/>
      <c r="G3" s="12"/>
      <c r="H3" s="12"/>
      <c r="I3" s="12"/>
      <c r="J3" s="53"/>
      <c r="K3" s="78"/>
      <c r="L3" s="78"/>
      <c r="M3" s="78"/>
      <c r="N3" s="78"/>
      <c r="O3" s="78"/>
    </row>
    <row r="4" spans="1:15" x14ac:dyDescent="0.3">
      <c r="A4" s="835"/>
      <c r="B4" s="12" t="s">
        <v>1049</v>
      </c>
      <c r="C4" s="54"/>
      <c r="D4" s="55"/>
      <c r="E4" s="56"/>
      <c r="F4" s="12"/>
      <c r="G4" s="12"/>
      <c r="H4" s="12"/>
      <c r="I4" s="12"/>
      <c r="J4" s="53"/>
      <c r="K4" s="78"/>
      <c r="L4" s="78"/>
      <c r="M4" s="78"/>
      <c r="N4" s="78"/>
      <c r="O4" s="78"/>
    </row>
    <row r="5" spans="1:15" ht="15" thickBot="1" x14ac:dyDescent="0.35">
      <c r="A5" s="835"/>
      <c r="B5" s="12"/>
      <c r="C5" s="54"/>
      <c r="D5" s="55"/>
      <c r="E5" s="56"/>
      <c r="F5" s="12"/>
      <c r="G5" s="12"/>
      <c r="H5" s="12"/>
      <c r="I5" s="12"/>
      <c r="J5" s="53"/>
      <c r="K5" s="78"/>
      <c r="L5" s="78"/>
      <c r="M5" s="78"/>
      <c r="N5" s="78"/>
      <c r="O5" s="78"/>
    </row>
    <row r="6" spans="1:15" ht="15" thickBot="1" x14ac:dyDescent="0.35">
      <c r="A6" s="835"/>
      <c r="B6" s="846"/>
      <c r="C6" s="839"/>
      <c r="D6" s="1071" t="s">
        <v>86</v>
      </c>
      <c r="E6" s="1072"/>
      <c r="F6" s="1072"/>
      <c r="G6" s="1072"/>
      <c r="H6" s="1072"/>
      <c r="I6" s="1073"/>
      <c r="J6" s="53"/>
      <c r="K6" s="78"/>
      <c r="L6" s="78"/>
      <c r="M6" s="78"/>
      <c r="N6" s="78"/>
      <c r="O6" s="78"/>
    </row>
    <row r="7" spans="1:15" ht="15" thickBot="1" x14ac:dyDescent="0.35">
      <c r="A7" s="835"/>
      <c r="B7" s="57"/>
      <c r="C7" s="839"/>
      <c r="D7" s="1074" t="s">
        <v>87</v>
      </c>
      <c r="E7" s="1075"/>
      <c r="F7" s="1074" t="s">
        <v>88</v>
      </c>
      <c r="G7" s="1075"/>
      <c r="H7" s="1074" t="s">
        <v>89</v>
      </c>
      <c r="I7" s="1075"/>
      <c r="J7" s="53"/>
      <c r="K7" s="78"/>
      <c r="L7" s="78"/>
      <c r="M7" s="78"/>
      <c r="N7" s="78"/>
      <c r="O7" s="78"/>
    </row>
    <row r="8" spans="1:15" ht="15" thickBot="1" x14ac:dyDescent="0.35">
      <c r="A8" s="835"/>
      <c r="B8" s="845" t="s">
        <v>90</v>
      </c>
      <c r="C8" s="844" t="s">
        <v>1048</v>
      </c>
      <c r="D8" s="58" t="s">
        <v>91</v>
      </c>
      <c r="E8" s="59" t="s">
        <v>92</v>
      </c>
      <c r="F8" s="58" t="s">
        <v>91</v>
      </c>
      <c r="G8" s="59" t="s">
        <v>92</v>
      </c>
      <c r="H8" s="58" t="s">
        <v>91</v>
      </c>
      <c r="I8" s="59" t="s">
        <v>92</v>
      </c>
      <c r="J8" s="53"/>
      <c r="K8" s="78"/>
      <c r="L8" s="78" t="s">
        <v>97</v>
      </c>
      <c r="M8" s="78"/>
      <c r="N8" s="78"/>
      <c r="O8" s="78"/>
    </row>
    <row r="9" spans="1:15" x14ac:dyDescent="0.3">
      <c r="A9" s="835"/>
      <c r="B9" s="843">
        <v>2014</v>
      </c>
      <c r="C9" s="842" t="s">
        <v>1047</v>
      </c>
      <c r="D9" s="60">
        <v>800</v>
      </c>
      <c r="E9" s="61">
        <v>80000000</v>
      </c>
      <c r="F9" s="60">
        <v>50</v>
      </c>
      <c r="G9" s="97">
        <v>2500000</v>
      </c>
      <c r="H9" s="60">
        <v>1500</v>
      </c>
      <c r="I9" s="61">
        <v>15000000</v>
      </c>
      <c r="J9" s="53"/>
      <c r="K9" s="78"/>
      <c r="L9" s="78"/>
      <c r="M9" s="78"/>
      <c r="N9" s="78"/>
      <c r="O9" s="78"/>
    </row>
    <row r="10" spans="1:15" x14ac:dyDescent="0.3">
      <c r="A10" s="835"/>
      <c r="B10" s="843"/>
      <c r="C10" s="842" t="s">
        <v>1046</v>
      </c>
      <c r="D10" s="60">
        <v>20</v>
      </c>
      <c r="E10" s="61">
        <v>12000000</v>
      </c>
      <c r="F10" s="60">
        <v>30</v>
      </c>
      <c r="G10" s="97">
        <v>16500000</v>
      </c>
      <c r="H10" s="60"/>
      <c r="I10" s="61"/>
      <c r="J10" s="53"/>
      <c r="K10" s="78"/>
      <c r="L10" s="78" t="s">
        <v>98</v>
      </c>
      <c r="M10" s="78"/>
      <c r="N10" s="78"/>
      <c r="O10" s="78"/>
    </row>
    <row r="11" spans="1:15" x14ac:dyDescent="0.3">
      <c r="A11" s="835"/>
      <c r="B11" s="843">
        <v>2015</v>
      </c>
      <c r="C11" s="842" t="s">
        <v>1047</v>
      </c>
      <c r="D11" s="60">
        <v>780</v>
      </c>
      <c r="E11" s="61">
        <v>81900000</v>
      </c>
      <c r="F11" s="62"/>
      <c r="G11" s="63"/>
      <c r="H11" s="60">
        <v>1450</v>
      </c>
      <c r="I11" s="61">
        <v>15225000</v>
      </c>
      <c r="J11" s="53"/>
      <c r="K11" s="78"/>
      <c r="L11" s="94">
        <f>SUM(G9:G10)+1000000</f>
        <v>20000000</v>
      </c>
      <c r="M11" s="78"/>
      <c r="N11" s="78"/>
      <c r="O11" s="78"/>
    </row>
    <row r="12" spans="1:15" x14ac:dyDescent="0.3">
      <c r="A12" s="835"/>
      <c r="B12" s="843"/>
      <c r="C12" s="842" t="s">
        <v>1046</v>
      </c>
      <c r="D12" s="60">
        <v>10</v>
      </c>
      <c r="E12" s="61">
        <v>6300000</v>
      </c>
      <c r="F12" s="62"/>
      <c r="G12" s="63"/>
      <c r="H12" s="60">
        <v>5</v>
      </c>
      <c r="I12" s="61">
        <v>4020000</v>
      </c>
      <c r="J12" s="53"/>
      <c r="K12" s="78"/>
      <c r="L12" s="78" t="s">
        <v>99</v>
      </c>
      <c r="M12" s="78"/>
      <c r="N12" s="78"/>
      <c r="O12" s="78"/>
    </row>
    <row r="13" spans="1:15" x14ac:dyDescent="0.3">
      <c r="A13" s="835"/>
      <c r="B13" s="843">
        <v>2016</v>
      </c>
      <c r="C13" s="842" t="s">
        <v>1047</v>
      </c>
      <c r="D13" s="60">
        <v>750</v>
      </c>
      <c r="E13" s="61">
        <v>82687500</v>
      </c>
      <c r="F13" s="62"/>
      <c r="G13" s="63"/>
      <c r="H13" s="60">
        <v>1550</v>
      </c>
      <c r="I13" s="61">
        <v>17088750</v>
      </c>
      <c r="J13" s="53"/>
      <c r="K13" s="78"/>
      <c r="L13" s="78"/>
      <c r="M13" s="78"/>
      <c r="N13" s="78"/>
      <c r="O13" s="78"/>
    </row>
    <row r="14" spans="1:15" ht="15" thickBot="1" x14ac:dyDescent="0.35">
      <c r="A14" s="835"/>
      <c r="B14" s="841"/>
      <c r="C14" s="840" t="s">
        <v>1046</v>
      </c>
      <c r="D14" s="64">
        <v>25</v>
      </c>
      <c r="E14" s="98">
        <v>13891500</v>
      </c>
      <c r="F14" s="66"/>
      <c r="G14" s="67"/>
      <c r="H14" s="68"/>
      <c r="I14" s="67"/>
      <c r="J14" s="53"/>
      <c r="K14" s="78" t="s">
        <v>100</v>
      </c>
      <c r="L14" s="94">
        <f>SUM(E9:E14,G9:G11,I9:I14)</f>
        <v>347112750</v>
      </c>
      <c r="M14" s="78"/>
      <c r="N14" s="78"/>
      <c r="O14" s="78"/>
    </row>
    <row r="15" spans="1:15" ht="15" thickBot="1" x14ac:dyDescent="0.35">
      <c r="A15" s="835"/>
      <c r="B15" s="57"/>
      <c r="C15" s="839"/>
      <c r="D15" s="69"/>
      <c r="E15" s="69"/>
      <c r="F15" s="70"/>
      <c r="G15" s="57"/>
      <c r="H15" s="57"/>
      <c r="I15" s="12"/>
      <c r="J15" s="53"/>
      <c r="K15" s="78" t="s">
        <v>101</v>
      </c>
      <c r="L15" s="94">
        <f>G9+G10+1000000</f>
        <v>20000000</v>
      </c>
      <c r="M15" s="78"/>
      <c r="N15" s="78"/>
      <c r="O15" s="78"/>
    </row>
    <row r="16" spans="1:15" ht="15" thickBot="1" x14ac:dyDescent="0.35">
      <c r="A16" s="835"/>
      <c r="B16" s="838">
        <v>500000</v>
      </c>
      <c r="C16" s="837" t="s">
        <v>1045</v>
      </c>
      <c r="D16" s="71"/>
      <c r="E16" s="71"/>
      <c r="F16" s="72"/>
      <c r="G16" s="12"/>
      <c r="H16" s="12"/>
      <c r="I16" s="12"/>
      <c r="J16" s="53"/>
      <c r="K16" s="78" t="s">
        <v>102</v>
      </c>
      <c r="L16" s="99">
        <f>E10-D10*500000</f>
        <v>2000000</v>
      </c>
      <c r="M16" s="78"/>
      <c r="N16" s="78"/>
      <c r="O16" s="78"/>
    </row>
    <row r="17" spans="1:15" x14ac:dyDescent="0.3">
      <c r="A17" s="835"/>
      <c r="B17" s="12"/>
      <c r="C17" s="54"/>
      <c r="D17" s="55"/>
      <c r="E17" s="56"/>
      <c r="F17" s="12"/>
      <c r="G17" s="12"/>
      <c r="H17" s="12"/>
      <c r="I17" s="12"/>
      <c r="J17" s="53"/>
      <c r="K17" s="78"/>
      <c r="L17" s="99">
        <f>E12-D12*500000</f>
        <v>1300000</v>
      </c>
      <c r="M17" s="78"/>
      <c r="N17" s="78"/>
      <c r="O17" s="78"/>
    </row>
    <row r="18" spans="1:15" x14ac:dyDescent="0.3">
      <c r="A18" s="835"/>
      <c r="B18" s="12" t="s">
        <v>1044</v>
      </c>
      <c r="C18" s="55"/>
      <c r="D18" s="54"/>
      <c r="E18" s="54"/>
      <c r="F18" s="56"/>
      <c r="G18" s="12"/>
      <c r="H18" s="12"/>
      <c r="I18" s="12"/>
      <c r="J18" s="53"/>
      <c r="K18" s="78"/>
      <c r="L18" s="99">
        <f>(E14-1000000)-(D14-1)*500000</f>
        <v>891500</v>
      </c>
      <c r="M18" s="78"/>
      <c r="N18" s="78"/>
      <c r="O18" s="78"/>
    </row>
    <row r="19" spans="1:15" x14ac:dyDescent="0.3">
      <c r="A19" s="835"/>
      <c r="B19" s="12" t="s">
        <v>1043</v>
      </c>
      <c r="C19" s="54"/>
      <c r="D19" s="55"/>
      <c r="E19" s="56"/>
      <c r="F19" s="12"/>
      <c r="G19" s="12"/>
      <c r="H19" s="12"/>
      <c r="I19" s="12"/>
      <c r="J19" s="53"/>
      <c r="K19" s="78"/>
      <c r="L19" s="99">
        <f>I12-H12*500000</f>
        <v>1520000</v>
      </c>
      <c r="M19" s="78"/>
      <c r="N19" s="78"/>
      <c r="O19" s="78"/>
    </row>
    <row r="20" spans="1:15" x14ac:dyDescent="0.3">
      <c r="A20" s="835"/>
      <c r="B20" s="12" t="s">
        <v>1042</v>
      </c>
      <c r="C20" s="73"/>
      <c r="D20" s="73"/>
      <c r="E20" s="73"/>
      <c r="F20" s="73"/>
      <c r="G20" s="73"/>
      <c r="H20" s="73"/>
      <c r="I20" s="73"/>
      <c r="J20" s="53"/>
      <c r="K20" s="78" t="s">
        <v>103</v>
      </c>
      <c r="L20" s="99">
        <f>SUM(L15:L19)</f>
        <v>25711500</v>
      </c>
      <c r="M20" s="78"/>
      <c r="N20" s="78"/>
      <c r="O20" s="78"/>
    </row>
    <row r="21" spans="1:15" x14ac:dyDescent="0.3">
      <c r="A21" s="835"/>
      <c r="B21" s="12" t="s">
        <v>1041</v>
      </c>
      <c r="C21" s="73"/>
      <c r="D21" s="73"/>
      <c r="E21" s="73"/>
      <c r="F21" s="73"/>
      <c r="G21" s="73"/>
      <c r="H21" s="73"/>
      <c r="I21" s="73"/>
      <c r="J21" s="53"/>
      <c r="K21" s="78"/>
      <c r="L21" s="99"/>
      <c r="M21" s="78"/>
      <c r="N21" s="78"/>
      <c r="O21" s="78"/>
    </row>
    <row r="22" spans="1:15" x14ac:dyDescent="0.3">
      <c r="A22" s="835"/>
      <c r="B22" s="836" t="s">
        <v>1040</v>
      </c>
      <c r="C22" s="73"/>
      <c r="D22" s="73"/>
      <c r="E22" s="73"/>
      <c r="F22" s="73"/>
      <c r="G22" s="73"/>
      <c r="H22" s="73"/>
      <c r="I22" s="73"/>
      <c r="J22" s="53"/>
      <c r="K22" s="78" t="s">
        <v>104</v>
      </c>
      <c r="L22" s="95">
        <f>L20/(L14-L20)</f>
        <v>7.999813317465318E-2</v>
      </c>
      <c r="M22" s="78"/>
      <c r="N22" s="78"/>
      <c r="O22" s="78"/>
    </row>
    <row r="23" spans="1:15" x14ac:dyDescent="0.3">
      <c r="A23" s="835"/>
      <c r="B23" s="12" t="s">
        <v>1039</v>
      </c>
      <c r="C23" s="73"/>
      <c r="D23" s="73"/>
      <c r="E23" s="73"/>
      <c r="F23" s="73"/>
      <c r="G23" s="73"/>
      <c r="H23" s="73"/>
      <c r="I23" s="73"/>
      <c r="J23" s="53"/>
      <c r="K23" s="100" t="s">
        <v>105</v>
      </c>
      <c r="L23" s="101">
        <f>1+L22</f>
        <v>1.0799981331746531</v>
      </c>
      <c r="M23" s="78"/>
      <c r="N23" s="78"/>
      <c r="O23" s="78"/>
    </row>
    <row r="24" spans="1:15" x14ac:dyDescent="0.3">
      <c r="A24" s="835"/>
      <c r="B24" s="12"/>
      <c r="C24" s="73"/>
      <c r="D24" s="73"/>
      <c r="E24" s="73"/>
      <c r="F24" s="73"/>
      <c r="G24" s="73"/>
      <c r="H24" s="73"/>
      <c r="I24" s="73"/>
      <c r="J24" s="53"/>
      <c r="K24" s="78"/>
      <c r="L24" s="78"/>
      <c r="M24" s="78"/>
      <c r="N24" s="78"/>
      <c r="O24" s="78"/>
    </row>
    <row r="25" spans="1:15" x14ac:dyDescent="0.3">
      <c r="A25" s="834">
        <v>1.5</v>
      </c>
      <c r="B25" s="12" t="s">
        <v>0</v>
      </c>
      <c r="C25" s="54"/>
      <c r="D25" s="55"/>
      <c r="E25" s="56"/>
      <c r="F25" s="12"/>
      <c r="G25" s="12"/>
      <c r="H25" s="12"/>
      <c r="I25" s="12"/>
      <c r="J25" s="53"/>
      <c r="K25" s="78"/>
      <c r="L25" s="78"/>
      <c r="M25" s="78"/>
      <c r="N25" s="78"/>
      <c r="O25" s="78"/>
    </row>
    <row r="26" spans="1:15" x14ac:dyDescent="0.3">
      <c r="A26" s="834"/>
      <c r="B26" s="12" t="s">
        <v>1038</v>
      </c>
      <c r="C26" s="54"/>
      <c r="D26" s="55"/>
      <c r="E26" s="56"/>
      <c r="F26" s="12"/>
      <c r="G26" s="12"/>
      <c r="H26" s="12"/>
      <c r="I26" s="12"/>
      <c r="J26" s="53"/>
      <c r="K26" s="78"/>
      <c r="L26" s="78"/>
      <c r="M26" s="78"/>
      <c r="N26" s="78"/>
      <c r="O26" s="78"/>
    </row>
    <row r="27" spans="1:15" x14ac:dyDescent="0.3">
      <c r="A27" s="834"/>
      <c r="B27" s="12"/>
      <c r="C27" s="54"/>
      <c r="D27" s="55"/>
      <c r="E27" s="56"/>
      <c r="F27" s="12"/>
      <c r="G27" s="12"/>
      <c r="H27" s="12"/>
      <c r="I27" s="12"/>
      <c r="J27" s="53"/>
      <c r="K27" s="78"/>
      <c r="L27" s="78"/>
      <c r="M27" s="78"/>
      <c r="N27" s="78"/>
      <c r="O27" s="78"/>
    </row>
    <row r="28" spans="1:15" x14ac:dyDescent="0.3">
      <c r="A28" s="834">
        <v>0.5</v>
      </c>
      <c r="B28" s="12" t="s">
        <v>1</v>
      </c>
      <c r="C28" s="54"/>
      <c r="D28" s="55"/>
      <c r="E28" s="56"/>
      <c r="F28" s="12"/>
      <c r="G28" s="12"/>
      <c r="H28" s="12"/>
      <c r="I28" s="12"/>
      <c r="J28" s="53"/>
      <c r="K28" s="78"/>
      <c r="L28" s="78"/>
      <c r="M28" s="78"/>
      <c r="N28" s="78"/>
      <c r="O28" s="78"/>
    </row>
    <row r="29" spans="1:15" x14ac:dyDescent="0.3">
      <c r="A29" s="834"/>
      <c r="B29" s="12" t="s">
        <v>1037</v>
      </c>
      <c r="C29" s="54"/>
      <c r="D29" s="55"/>
      <c r="E29" s="56"/>
      <c r="F29" s="12"/>
      <c r="G29" s="12"/>
      <c r="H29" s="12"/>
      <c r="I29" s="12"/>
      <c r="J29" s="53"/>
      <c r="K29" s="78"/>
      <c r="L29" s="78"/>
      <c r="M29" s="78"/>
      <c r="N29" s="78"/>
      <c r="O29" s="78"/>
    </row>
    <row r="30" spans="1:15" ht="15" thickBot="1" x14ac:dyDescent="0.35">
      <c r="A30" s="833"/>
      <c r="B30" s="832"/>
      <c r="C30" s="832"/>
      <c r="D30" s="74"/>
      <c r="E30" s="75"/>
      <c r="F30" s="76"/>
      <c r="G30" s="76"/>
      <c r="H30" s="76"/>
      <c r="I30" s="76"/>
      <c r="J30" s="77"/>
      <c r="K30" s="78"/>
      <c r="L30" s="78"/>
      <c r="M30" s="78"/>
      <c r="N30" s="78"/>
      <c r="O30" s="78"/>
    </row>
  </sheetData>
  <mergeCells count="4">
    <mergeCell ref="D6:I6"/>
    <mergeCell ref="D7:E7"/>
    <mergeCell ref="F7:G7"/>
    <mergeCell ref="H7:I7"/>
  </mergeCells>
  <conditionalFormatting sqref="B1">
    <cfRule type="cellIs" dxfId="204" priority="1" operator="equal">
      <formula>"Review Later"</formula>
    </cfRule>
    <cfRule type="cellIs" dxfId="203" priority="2" operator="equal">
      <formula>"Finished"</formula>
    </cfRule>
    <cfRule type="cellIs" dxfId="202" priority="3" operator="equal">
      <formula>"Incomplete"</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heetViews>
  <sheetFormatPr defaultRowHeight="14.4" x14ac:dyDescent="0.3"/>
  <cols>
    <col min="4" max="4" width="20" customWidth="1"/>
    <col min="5" max="5" width="23.4414062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ht="15" thickBot="1" x14ac:dyDescent="0.35">
      <c r="A8" s="835"/>
      <c r="B8" s="845" t="s">
        <v>90</v>
      </c>
      <c r="C8" s="844" t="s">
        <v>1048</v>
      </c>
      <c r="D8" s="58" t="s">
        <v>91</v>
      </c>
      <c r="E8" s="59" t="s">
        <v>92</v>
      </c>
      <c r="F8" s="58" t="s">
        <v>91</v>
      </c>
      <c r="G8" s="59" t="s">
        <v>92</v>
      </c>
      <c r="H8" s="58" t="s">
        <v>91</v>
      </c>
      <c r="I8" s="59" t="s">
        <v>92</v>
      </c>
      <c r="J8" s="53"/>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ht="15" thickBot="1" x14ac:dyDescent="0.35">
      <c r="A31" s="78"/>
      <c r="B31" s="78"/>
      <c r="C31" s="78"/>
      <c r="D31" s="78"/>
      <c r="E31" s="78"/>
      <c r="F31" s="78" t="s">
        <v>91</v>
      </c>
      <c r="G31" s="78" t="s">
        <v>106</v>
      </c>
      <c r="H31" s="78"/>
      <c r="I31" s="78"/>
      <c r="J31" s="78"/>
    </row>
    <row r="32" spans="1:10" ht="15" thickBot="1" x14ac:dyDescent="0.35">
      <c r="A32" s="78"/>
      <c r="B32" s="858" t="s">
        <v>107</v>
      </c>
      <c r="C32" s="857">
        <f>E38</f>
        <v>1.0177706216139484</v>
      </c>
      <c r="D32" s="78"/>
      <c r="E32" s="78" t="s">
        <v>108</v>
      </c>
      <c r="F32" s="94">
        <f>SUM(D9,D11,D13,F9,H9,H11,H13)</f>
        <v>6880</v>
      </c>
      <c r="G32" s="94">
        <f>SUM(E9,E11,E13,I9,I11,I13)</f>
        <v>291901250</v>
      </c>
      <c r="H32" s="78"/>
      <c r="I32" s="78"/>
      <c r="J32" s="78"/>
    </row>
    <row r="33" spans="1:10" x14ac:dyDescent="0.3">
      <c r="A33" s="78"/>
      <c r="B33" s="78"/>
      <c r="C33" s="78"/>
      <c r="D33" s="78"/>
      <c r="E33" s="78" t="s">
        <v>109</v>
      </c>
      <c r="F33" s="94">
        <f>SUM(D10,D12,D14,H10,H12,H14)-1</f>
        <v>59</v>
      </c>
      <c r="G33" s="94">
        <f>SUM(E10,E12,E14,I10,I12,I14)-1000000</f>
        <v>35211500</v>
      </c>
      <c r="H33" s="78"/>
      <c r="I33" s="78"/>
      <c r="J33" s="78"/>
    </row>
    <row r="34" spans="1:10" x14ac:dyDescent="0.3">
      <c r="A34" s="78"/>
      <c r="B34" s="78"/>
      <c r="C34" s="78"/>
      <c r="D34" s="78"/>
      <c r="E34" s="78" t="s">
        <v>110</v>
      </c>
      <c r="F34" s="94">
        <f>SUM(F9:F10)+1</f>
        <v>81</v>
      </c>
      <c r="G34" s="94">
        <f>SUM(G9:G10)+1000000</f>
        <v>20000000</v>
      </c>
      <c r="H34" s="78"/>
      <c r="I34" s="78"/>
      <c r="J34" s="78"/>
    </row>
    <row r="35" spans="1:10" x14ac:dyDescent="0.3">
      <c r="A35" s="78"/>
      <c r="B35" s="78"/>
      <c r="C35" s="78"/>
      <c r="D35" s="78" t="s">
        <v>111</v>
      </c>
      <c r="E35" s="102">
        <f>(G32+F33*500000)/SUM(F32,F33)</f>
        <v>46318.093385214008</v>
      </c>
      <c r="F35" s="78"/>
      <c r="G35" s="78"/>
      <c r="H35" s="78"/>
      <c r="I35" s="78"/>
      <c r="J35" s="78"/>
    </row>
    <row r="36" spans="1:10" x14ac:dyDescent="0.3">
      <c r="A36" s="78"/>
      <c r="B36" s="78"/>
      <c r="C36" s="78"/>
      <c r="D36" s="78" t="s">
        <v>112</v>
      </c>
      <c r="E36" s="102">
        <f>(G33-F33*500000)/F33</f>
        <v>96805.08474576271</v>
      </c>
      <c r="F36" s="78"/>
      <c r="G36" s="78"/>
      <c r="H36" s="78"/>
      <c r="I36" s="78"/>
      <c r="J36" s="78"/>
    </row>
    <row r="37" spans="1:10" x14ac:dyDescent="0.3">
      <c r="A37" s="78"/>
      <c r="B37" s="78"/>
      <c r="C37" s="78"/>
      <c r="D37" s="78" t="s">
        <v>113</v>
      </c>
      <c r="E37" s="103">
        <f>F33/(F33+F32)</f>
        <v>8.5026660902147288E-3</v>
      </c>
      <c r="F37" s="78"/>
      <c r="G37" s="78"/>
      <c r="H37" s="78"/>
      <c r="I37" s="78"/>
      <c r="J37" s="78"/>
    </row>
    <row r="38" spans="1:10" x14ac:dyDescent="0.3">
      <c r="A38" s="78"/>
      <c r="B38" s="78"/>
      <c r="C38" s="78"/>
      <c r="D38" s="78" t="s">
        <v>114</v>
      </c>
      <c r="E38" s="78">
        <f>(E36*E37+E35)/E35</f>
        <v>1.0177706216139484</v>
      </c>
      <c r="F38" s="78"/>
      <c r="G38" s="78"/>
      <c r="H38" s="78"/>
      <c r="I38" s="78"/>
      <c r="J38" s="78"/>
    </row>
    <row r="39" spans="1:10" x14ac:dyDescent="0.3">
      <c r="E39" s="104"/>
    </row>
  </sheetData>
  <mergeCells count="4">
    <mergeCell ref="D6:I6"/>
    <mergeCell ref="D7:E7"/>
    <mergeCell ref="F7:G7"/>
    <mergeCell ref="H7:I7"/>
  </mergeCells>
  <conditionalFormatting sqref="B1">
    <cfRule type="cellIs" dxfId="201" priority="1" operator="equal">
      <formula>"Review Later"</formula>
    </cfRule>
    <cfRule type="cellIs" dxfId="200" priority="2" operator="equal">
      <formula>"Finished"</formula>
    </cfRule>
    <cfRule type="cellIs" dxfId="199" priority="3" operator="equal">
      <formula>"Incomplete"</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heetViews>
  <sheetFormatPr defaultRowHeight="14.4" x14ac:dyDescent="0.3"/>
  <cols>
    <col min="1" max="1" width="23.109375" customWidth="1"/>
    <col min="2" max="2" width="15.109375" customWidth="1"/>
    <col min="3" max="3" width="15.6640625" customWidth="1"/>
    <col min="4" max="4" width="15" customWidth="1"/>
    <col min="5" max="5" width="31.8867187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s="93" customFormat="1" ht="15" thickBot="1" x14ac:dyDescent="0.35">
      <c r="A8" s="856"/>
      <c r="B8" s="855" t="s">
        <v>90</v>
      </c>
      <c r="C8" s="854" t="s">
        <v>1048</v>
      </c>
      <c r="D8" s="90" t="s">
        <v>91</v>
      </c>
      <c r="E8" s="91" t="s">
        <v>92</v>
      </c>
      <c r="F8" s="90" t="s">
        <v>91</v>
      </c>
      <c r="G8" s="91" t="s">
        <v>92</v>
      </c>
      <c r="H8" s="90" t="s">
        <v>91</v>
      </c>
      <c r="I8" s="91" t="s">
        <v>92</v>
      </c>
      <c r="J8" s="92"/>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x14ac:dyDescent="0.3">
      <c r="C31" s="78"/>
      <c r="D31" s="78"/>
      <c r="E31" s="78" t="s">
        <v>1</v>
      </c>
      <c r="F31" s="78"/>
      <c r="G31" s="78"/>
      <c r="H31" s="78"/>
      <c r="I31" s="78"/>
      <c r="J31" s="78"/>
    </row>
    <row r="32" spans="1:10" x14ac:dyDescent="0.3">
      <c r="C32" s="78"/>
      <c r="D32" s="78"/>
      <c r="E32" s="78" t="s">
        <v>115</v>
      </c>
      <c r="F32" s="78"/>
      <c r="G32" s="78"/>
      <c r="H32" s="78"/>
      <c r="I32" s="78"/>
      <c r="J32" s="78"/>
    </row>
    <row r="33" spans="3:10" x14ac:dyDescent="0.3">
      <c r="C33" s="78"/>
      <c r="D33" s="78"/>
      <c r="E33" s="78"/>
      <c r="F33" s="78"/>
      <c r="G33" s="78"/>
      <c r="H33" s="78"/>
      <c r="I33" s="78"/>
      <c r="J33" s="78"/>
    </row>
    <row r="34" spans="3:10" x14ac:dyDescent="0.3">
      <c r="C34" s="94"/>
      <c r="D34" s="78"/>
      <c r="E34" s="78"/>
      <c r="F34" s="78"/>
      <c r="G34" s="78"/>
      <c r="H34" s="78"/>
      <c r="I34" s="78"/>
      <c r="J34" s="78"/>
    </row>
    <row r="35" spans="3:10" x14ac:dyDescent="0.3">
      <c r="C35" s="78"/>
      <c r="D35" s="78"/>
      <c r="E35" s="78"/>
      <c r="F35" s="78"/>
      <c r="G35" s="78"/>
      <c r="H35" s="78"/>
      <c r="I35" s="78"/>
      <c r="J35" s="78"/>
    </row>
  </sheetData>
  <mergeCells count="4">
    <mergeCell ref="D6:I6"/>
    <mergeCell ref="D7:E7"/>
    <mergeCell ref="F7:G7"/>
    <mergeCell ref="H7:I7"/>
  </mergeCells>
  <conditionalFormatting sqref="B1">
    <cfRule type="cellIs" dxfId="198" priority="1" operator="equal">
      <formula>"Review Later"</formula>
    </cfRule>
    <cfRule type="cellIs" dxfId="197" priority="2" operator="equal">
      <formula>"Finished"</formula>
    </cfRule>
    <cfRule type="cellIs" dxfId="196" priority="3" operator="equal">
      <formula>"Incomplete"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RowHeight="14.4" x14ac:dyDescent="0.3"/>
  <cols>
    <col min="2" max="2" width="12.44140625" customWidth="1"/>
    <col min="3" max="3" width="13.6640625" customWidth="1"/>
    <col min="4" max="4" width="15" customWidth="1"/>
    <col min="5" max="5" width="23.44140625" customWidth="1"/>
    <col min="6" max="6" width="15" customWidth="1"/>
    <col min="7" max="7" width="23.44140625" customWidth="1"/>
    <col min="8" max="8" width="15" customWidth="1"/>
    <col min="9" max="9" width="23.44140625" customWidth="1"/>
  </cols>
  <sheetData>
    <row r="1" spans="1:10" ht="15" thickBot="1" x14ac:dyDescent="0.35">
      <c r="A1" s="3">
        <v>5</v>
      </c>
      <c r="B1" s="4"/>
      <c r="C1" s="848"/>
      <c r="D1" s="848"/>
      <c r="E1" s="848"/>
      <c r="F1" s="848"/>
      <c r="G1" s="848"/>
      <c r="H1" s="848"/>
      <c r="I1" s="848"/>
      <c r="J1" s="850"/>
    </row>
    <row r="2" spans="1:10" x14ac:dyDescent="0.3">
      <c r="A2" s="849" t="s">
        <v>4</v>
      </c>
      <c r="B2" s="848"/>
      <c r="C2" s="12"/>
      <c r="D2" s="12"/>
      <c r="E2" s="12"/>
      <c r="F2" s="12"/>
      <c r="G2" s="12"/>
      <c r="H2" s="12"/>
      <c r="I2" s="12"/>
      <c r="J2" s="53"/>
    </row>
    <row r="3" spans="1:10" x14ac:dyDescent="0.3">
      <c r="A3" s="834">
        <v>2</v>
      </c>
      <c r="B3" s="847"/>
      <c r="C3" s="12"/>
      <c r="D3" s="12"/>
      <c r="E3" s="12"/>
      <c r="F3" s="12"/>
      <c r="G3" s="12"/>
      <c r="H3" s="12"/>
      <c r="I3" s="12"/>
      <c r="J3" s="53"/>
    </row>
    <row r="4" spans="1:10" x14ac:dyDescent="0.3">
      <c r="A4" s="835"/>
      <c r="B4" s="12" t="s">
        <v>1049</v>
      </c>
      <c r="C4" s="54"/>
      <c r="D4" s="55"/>
      <c r="E4" s="56"/>
      <c r="F4" s="12"/>
      <c r="G4" s="12"/>
      <c r="H4" s="12"/>
      <c r="I4" s="12"/>
      <c r="J4" s="53"/>
    </row>
    <row r="5" spans="1:10" ht="15" thickBot="1" x14ac:dyDescent="0.35">
      <c r="A5" s="835"/>
      <c r="B5" s="12"/>
      <c r="C5" s="54"/>
      <c r="D5" s="55"/>
      <c r="E5" s="56"/>
      <c r="F5" s="12"/>
      <c r="G5" s="12"/>
      <c r="H5" s="12"/>
      <c r="I5" s="12"/>
      <c r="J5" s="53"/>
    </row>
    <row r="6" spans="1:10" ht="15" thickBot="1" x14ac:dyDescent="0.35">
      <c r="A6" s="835"/>
      <c r="B6" s="846"/>
      <c r="C6" s="839"/>
      <c r="D6" s="1071" t="s">
        <v>86</v>
      </c>
      <c r="E6" s="1072"/>
      <c r="F6" s="1072"/>
      <c r="G6" s="1072"/>
      <c r="H6" s="1072"/>
      <c r="I6" s="1073"/>
      <c r="J6" s="53"/>
    </row>
    <row r="7" spans="1:10" ht="15" thickBot="1" x14ac:dyDescent="0.35">
      <c r="A7" s="835"/>
      <c r="B7" s="57"/>
      <c r="C7" s="839"/>
      <c r="D7" s="1074" t="s">
        <v>87</v>
      </c>
      <c r="E7" s="1075"/>
      <c r="F7" s="1074" t="s">
        <v>88</v>
      </c>
      <c r="G7" s="1075"/>
      <c r="H7" s="1074" t="s">
        <v>89</v>
      </c>
      <c r="I7" s="1075"/>
      <c r="J7" s="53"/>
    </row>
    <row r="8" spans="1:10" s="93" customFormat="1" ht="28.8" thickBot="1" x14ac:dyDescent="0.35">
      <c r="A8" s="856"/>
      <c r="B8" s="855" t="s">
        <v>90</v>
      </c>
      <c r="C8" s="854" t="s">
        <v>1048</v>
      </c>
      <c r="D8" s="90" t="s">
        <v>91</v>
      </c>
      <c r="E8" s="91" t="s">
        <v>92</v>
      </c>
      <c r="F8" s="90" t="s">
        <v>91</v>
      </c>
      <c r="G8" s="91" t="s">
        <v>92</v>
      </c>
      <c r="H8" s="90" t="s">
        <v>91</v>
      </c>
      <c r="I8" s="91" t="s">
        <v>92</v>
      </c>
      <c r="J8" s="92"/>
    </row>
    <row r="9" spans="1:10" x14ac:dyDescent="0.3">
      <c r="A9" s="835"/>
      <c r="B9" s="843">
        <v>2014</v>
      </c>
      <c r="C9" s="842" t="s">
        <v>1047</v>
      </c>
      <c r="D9" s="60">
        <v>800</v>
      </c>
      <c r="E9" s="61">
        <v>80000000</v>
      </c>
      <c r="F9" s="60">
        <v>50</v>
      </c>
      <c r="G9" s="61">
        <v>2500000</v>
      </c>
      <c r="H9" s="60">
        <v>1500</v>
      </c>
      <c r="I9" s="61">
        <v>15000000</v>
      </c>
      <c r="J9" s="53"/>
    </row>
    <row r="10" spans="1:10" x14ac:dyDescent="0.3">
      <c r="A10" s="835"/>
      <c r="B10" s="843"/>
      <c r="C10" s="842" t="s">
        <v>1046</v>
      </c>
      <c r="D10" s="60">
        <v>20</v>
      </c>
      <c r="E10" s="61">
        <v>12000000</v>
      </c>
      <c r="F10" s="60">
        <v>30</v>
      </c>
      <c r="G10" s="61">
        <v>16500000</v>
      </c>
      <c r="H10" s="60"/>
      <c r="I10" s="61"/>
      <c r="J10" s="53"/>
    </row>
    <row r="11" spans="1:10" x14ac:dyDescent="0.3">
      <c r="A11" s="835"/>
      <c r="B11" s="843">
        <v>2015</v>
      </c>
      <c r="C11" s="842" t="s">
        <v>1047</v>
      </c>
      <c r="D11" s="60">
        <v>780</v>
      </c>
      <c r="E11" s="61">
        <v>81900000</v>
      </c>
      <c r="F11" s="62"/>
      <c r="G11" s="63"/>
      <c r="H11" s="60">
        <v>1450</v>
      </c>
      <c r="I11" s="61">
        <v>15225000</v>
      </c>
      <c r="J11" s="53"/>
    </row>
    <row r="12" spans="1:10" x14ac:dyDescent="0.3">
      <c r="A12" s="835"/>
      <c r="B12" s="843"/>
      <c r="C12" s="842" t="s">
        <v>1046</v>
      </c>
      <c r="D12" s="60">
        <v>10</v>
      </c>
      <c r="E12" s="61">
        <v>6300000</v>
      </c>
      <c r="F12" s="62"/>
      <c r="G12" s="63"/>
      <c r="H12" s="60">
        <v>5</v>
      </c>
      <c r="I12" s="61">
        <v>4020000</v>
      </c>
      <c r="J12" s="53"/>
    </row>
    <row r="13" spans="1:10" x14ac:dyDescent="0.3">
      <c r="A13" s="835"/>
      <c r="B13" s="843">
        <v>2016</v>
      </c>
      <c r="C13" s="842" t="s">
        <v>1047</v>
      </c>
      <c r="D13" s="60">
        <v>750</v>
      </c>
      <c r="E13" s="61">
        <v>82687500</v>
      </c>
      <c r="F13" s="62"/>
      <c r="G13" s="63"/>
      <c r="H13" s="60">
        <v>1550</v>
      </c>
      <c r="I13" s="61">
        <v>17088750</v>
      </c>
      <c r="J13" s="53"/>
    </row>
    <row r="14" spans="1:10" ht="15" thickBot="1" x14ac:dyDescent="0.35">
      <c r="A14" s="835"/>
      <c r="B14" s="841"/>
      <c r="C14" s="840" t="s">
        <v>1046</v>
      </c>
      <c r="D14" s="64">
        <v>25</v>
      </c>
      <c r="E14" s="65">
        <v>13891500</v>
      </c>
      <c r="F14" s="66"/>
      <c r="G14" s="67"/>
      <c r="H14" s="68"/>
      <c r="I14" s="67"/>
      <c r="J14" s="53"/>
    </row>
    <row r="15" spans="1:10" ht="15" thickBot="1" x14ac:dyDescent="0.35">
      <c r="A15" s="835"/>
      <c r="B15" s="57"/>
      <c r="C15" s="839"/>
      <c r="D15" s="69"/>
      <c r="E15" s="69"/>
      <c r="F15" s="70"/>
      <c r="G15" s="57"/>
      <c r="H15" s="57"/>
      <c r="I15" s="12"/>
      <c r="J15" s="53"/>
    </row>
    <row r="16" spans="1:10" ht="15" thickBot="1" x14ac:dyDescent="0.35">
      <c r="A16" s="835"/>
      <c r="B16" s="838">
        <v>500000</v>
      </c>
      <c r="C16" s="837" t="s">
        <v>1045</v>
      </c>
      <c r="D16" s="71"/>
      <c r="E16" s="71"/>
      <c r="F16" s="72"/>
      <c r="G16" s="12"/>
      <c r="H16" s="12"/>
      <c r="I16" s="12"/>
      <c r="J16" s="53"/>
    </row>
    <row r="17" spans="1:10" x14ac:dyDescent="0.3">
      <c r="A17" s="835"/>
      <c r="B17" s="12"/>
      <c r="C17" s="54"/>
      <c r="D17" s="55"/>
      <c r="E17" s="56"/>
      <c r="F17" s="12"/>
      <c r="G17" s="12"/>
      <c r="H17" s="12"/>
      <c r="I17" s="12"/>
      <c r="J17" s="53"/>
    </row>
    <row r="18" spans="1:10" x14ac:dyDescent="0.3">
      <c r="A18" s="835"/>
      <c r="B18" s="12" t="s">
        <v>1044</v>
      </c>
      <c r="C18" s="55"/>
      <c r="D18" s="54"/>
      <c r="E18" s="54"/>
      <c r="F18" s="56"/>
      <c r="G18" s="12"/>
      <c r="H18" s="12"/>
      <c r="I18" s="12"/>
      <c r="J18" s="53"/>
    </row>
    <row r="19" spans="1:10" x14ac:dyDescent="0.3">
      <c r="A19" s="835"/>
      <c r="B19" s="12" t="s">
        <v>1043</v>
      </c>
      <c r="C19" s="54"/>
      <c r="D19" s="55"/>
      <c r="E19" s="56"/>
      <c r="F19" s="12"/>
      <c r="G19" s="12"/>
      <c r="H19" s="12"/>
      <c r="I19" s="12"/>
      <c r="J19" s="53"/>
    </row>
    <row r="20" spans="1:10" x14ac:dyDescent="0.3">
      <c r="A20" s="835"/>
      <c r="B20" s="12" t="s">
        <v>1042</v>
      </c>
      <c r="C20" s="73"/>
      <c r="D20" s="73"/>
      <c r="E20" s="73"/>
      <c r="F20" s="73"/>
      <c r="G20" s="73"/>
      <c r="H20" s="73"/>
      <c r="I20" s="73"/>
      <c r="J20" s="53"/>
    </row>
    <row r="21" spans="1:10" x14ac:dyDescent="0.3">
      <c r="A21" s="835"/>
      <c r="B21" s="12" t="s">
        <v>1041</v>
      </c>
      <c r="C21" s="73"/>
      <c r="D21" s="73"/>
      <c r="E21" s="73"/>
      <c r="F21" s="73"/>
      <c r="G21" s="73"/>
      <c r="H21" s="73"/>
      <c r="I21" s="73"/>
      <c r="J21" s="53"/>
    </row>
    <row r="22" spans="1:10" x14ac:dyDescent="0.3">
      <c r="A22" s="835"/>
      <c r="B22" s="836" t="s">
        <v>1040</v>
      </c>
      <c r="C22" s="73"/>
      <c r="D22" s="73"/>
      <c r="E22" s="73"/>
      <c r="F22" s="73"/>
      <c r="G22" s="73"/>
      <c r="H22" s="73"/>
      <c r="I22" s="73"/>
      <c r="J22" s="53"/>
    </row>
    <row r="23" spans="1:10" x14ac:dyDescent="0.3">
      <c r="A23" s="835"/>
      <c r="B23" s="12" t="s">
        <v>1039</v>
      </c>
      <c r="C23" s="73"/>
      <c r="D23" s="73"/>
      <c r="E23" s="73"/>
      <c r="F23" s="73"/>
      <c r="G23" s="73"/>
      <c r="H23" s="73"/>
      <c r="I23" s="73"/>
      <c r="J23" s="53"/>
    </row>
    <row r="24" spans="1:10" x14ac:dyDescent="0.3">
      <c r="A24" s="835"/>
      <c r="B24" s="12"/>
      <c r="C24" s="73"/>
      <c r="D24" s="73"/>
      <c r="E24" s="73"/>
      <c r="F24" s="73"/>
      <c r="G24" s="73"/>
      <c r="H24" s="73"/>
      <c r="I24" s="73"/>
      <c r="J24" s="53"/>
    </row>
    <row r="25" spans="1:10" x14ac:dyDescent="0.3">
      <c r="A25" s="834">
        <v>1.5</v>
      </c>
      <c r="B25" s="12" t="s">
        <v>0</v>
      </c>
      <c r="C25" s="54"/>
      <c r="D25" s="55"/>
      <c r="E25" s="56"/>
      <c r="F25" s="12"/>
      <c r="G25" s="12"/>
      <c r="H25" s="12"/>
      <c r="I25" s="12"/>
      <c r="J25" s="53"/>
    </row>
    <row r="26" spans="1:10" x14ac:dyDescent="0.3">
      <c r="A26" s="834"/>
      <c r="B26" s="12" t="s">
        <v>1038</v>
      </c>
      <c r="C26" s="54"/>
      <c r="D26" s="55"/>
      <c r="E26" s="56"/>
      <c r="F26" s="12"/>
      <c r="G26" s="12"/>
      <c r="H26" s="12"/>
      <c r="I26" s="12"/>
      <c r="J26" s="53"/>
    </row>
    <row r="27" spans="1:10" x14ac:dyDescent="0.3">
      <c r="A27" s="834"/>
      <c r="B27" s="12"/>
      <c r="C27" s="54"/>
      <c r="D27" s="55"/>
      <c r="E27" s="56"/>
      <c r="F27" s="12"/>
      <c r="G27" s="12"/>
      <c r="H27" s="12"/>
      <c r="I27" s="12"/>
      <c r="J27" s="53"/>
    </row>
    <row r="28" spans="1:10" x14ac:dyDescent="0.3">
      <c r="A28" s="834">
        <v>0.5</v>
      </c>
      <c r="B28" s="12" t="s">
        <v>1</v>
      </c>
      <c r="C28" s="54"/>
      <c r="D28" s="55"/>
      <c r="E28" s="56"/>
      <c r="F28" s="12"/>
      <c r="G28" s="12"/>
      <c r="H28" s="12"/>
      <c r="I28" s="12"/>
      <c r="J28" s="53"/>
    </row>
    <row r="29" spans="1:10" x14ac:dyDescent="0.3">
      <c r="A29" s="834"/>
      <c r="B29" s="12" t="s">
        <v>1037</v>
      </c>
      <c r="C29" s="54"/>
      <c r="D29" s="55"/>
      <c r="E29" s="56"/>
      <c r="F29" s="12"/>
      <c r="G29" s="12"/>
      <c r="H29" s="12"/>
      <c r="I29" s="12"/>
      <c r="J29" s="53"/>
    </row>
    <row r="30" spans="1:10" ht="15" thickBot="1" x14ac:dyDescent="0.35">
      <c r="A30" s="833"/>
      <c r="B30" s="832"/>
      <c r="C30" s="832"/>
      <c r="D30" s="74"/>
      <c r="E30" s="75"/>
      <c r="F30" s="76"/>
      <c r="G30" s="76"/>
      <c r="H30" s="76"/>
      <c r="I30" s="76"/>
      <c r="J30" s="77"/>
    </row>
    <row r="31" spans="1:10" x14ac:dyDescent="0.3">
      <c r="A31" s="78"/>
      <c r="B31" s="78"/>
      <c r="C31" s="78"/>
      <c r="D31" s="78"/>
      <c r="E31" s="78"/>
      <c r="F31" s="78"/>
      <c r="G31" s="78"/>
      <c r="H31" s="78"/>
      <c r="I31" s="78"/>
      <c r="J31" s="78"/>
    </row>
    <row r="32" spans="1:10" x14ac:dyDescent="0.3">
      <c r="A32" s="78"/>
      <c r="B32" s="78"/>
      <c r="C32" s="78"/>
      <c r="D32" s="78"/>
      <c r="E32" s="78"/>
      <c r="F32" s="78"/>
      <c r="G32" s="78"/>
      <c r="H32" s="78"/>
      <c r="I32" s="78"/>
      <c r="J32" s="78"/>
    </row>
    <row r="33" spans="1:10" x14ac:dyDescent="0.3">
      <c r="A33" s="78"/>
      <c r="B33" s="78"/>
      <c r="C33" s="78"/>
      <c r="D33" s="78"/>
      <c r="E33" s="78"/>
      <c r="F33" s="78"/>
      <c r="G33" s="78"/>
      <c r="H33" s="78"/>
      <c r="I33" s="78"/>
      <c r="J33" s="78"/>
    </row>
    <row r="34" spans="1:10" x14ac:dyDescent="0.3">
      <c r="A34" s="78"/>
      <c r="B34" s="78"/>
      <c r="C34" s="78"/>
      <c r="D34" s="78"/>
      <c r="E34" s="78"/>
      <c r="F34" s="95"/>
      <c r="G34" s="78"/>
      <c r="H34" s="78"/>
      <c r="I34" s="78"/>
      <c r="J34" s="78"/>
    </row>
    <row r="35" spans="1:10" x14ac:dyDescent="0.3">
      <c r="A35" s="78"/>
      <c r="B35" s="78"/>
      <c r="C35" s="78"/>
      <c r="D35" s="94"/>
      <c r="E35" s="78"/>
      <c r="F35" s="78"/>
      <c r="G35" s="78"/>
      <c r="H35" s="78"/>
      <c r="I35" s="78"/>
      <c r="J35" s="78"/>
    </row>
    <row r="36" spans="1:10" x14ac:dyDescent="0.3">
      <c r="A36" s="78"/>
      <c r="B36" s="78"/>
      <c r="C36" s="78"/>
      <c r="D36" s="96"/>
      <c r="E36" s="78"/>
      <c r="F36" s="78"/>
      <c r="G36" s="78"/>
      <c r="H36" s="78"/>
      <c r="I36" s="78"/>
      <c r="J36" s="78"/>
    </row>
    <row r="37" spans="1:10" x14ac:dyDescent="0.3">
      <c r="A37" s="78"/>
      <c r="B37" s="78"/>
      <c r="C37" s="78"/>
      <c r="D37" s="78"/>
      <c r="E37" s="78"/>
      <c r="F37" s="78"/>
      <c r="G37" s="78"/>
      <c r="H37" s="78"/>
      <c r="I37" s="78"/>
      <c r="J37" s="78"/>
    </row>
    <row r="38" spans="1:10" x14ac:dyDescent="0.3">
      <c r="A38" s="78"/>
      <c r="B38" s="78" t="s">
        <v>1</v>
      </c>
      <c r="C38" s="78"/>
      <c r="D38" s="78"/>
      <c r="E38" s="78"/>
      <c r="F38" s="78"/>
      <c r="G38" s="78"/>
      <c r="H38" s="78"/>
      <c r="I38" s="78"/>
      <c r="J38" s="78"/>
    </row>
    <row r="39" spans="1:10" x14ac:dyDescent="0.3">
      <c r="A39" s="78"/>
      <c r="B39" s="78"/>
      <c r="C39" s="78"/>
      <c r="D39" s="78"/>
      <c r="E39" s="78"/>
      <c r="F39" s="78"/>
      <c r="G39" s="78"/>
      <c r="H39" s="78"/>
      <c r="I39" s="78"/>
      <c r="J39" s="78"/>
    </row>
    <row r="40" spans="1:10" x14ac:dyDescent="0.3">
      <c r="A40" s="78"/>
      <c r="B40" s="78" t="s">
        <v>1061</v>
      </c>
      <c r="C40" s="78"/>
      <c r="D40" s="78"/>
      <c r="E40" s="78"/>
      <c r="F40" s="78"/>
      <c r="G40" s="78"/>
      <c r="H40" s="78"/>
      <c r="I40" s="78"/>
      <c r="J40" s="78"/>
    </row>
    <row r="41" spans="1:10" x14ac:dyDescent="0.3">
      <c r="A41" s="78"/>
      <c r="B41" s="78" t="s">
        <v>1060</v>
      </c>
      <c r="C41" s="78"/>
      <c r="D41" s="78"/>
      <c r="E41" s="78"/>
      <c r="F41" s="78"/>
      <c r="G41" s="78"/>
      <c r="H41" s="78"/>
      <c r="I41" s="78"/>
      <c r="J41" s="78"/>
    </row>
    <row r="42" spans="1:10" x14ac:dyDescent="0.3">
      <c r="A42" s="78"/>
      <c r="B42" s="78" t="s">
        <v>1059</v>
      </c>
      <c r="C42" s="78"/>
      <c r="D42" s="78"/>
      <c r="E42" s="78"/>
      <c r="F42" s="78"/>
      <c r="G42" s="78"/>
      <c r="H42" s="78"/>
      <c r="I42" s="78"/>
      <c r="J42" s="78"/>
    </row>
    <row r="43" spans="1:10" x14ac:dyDescent="0.3">
      <c r="A43" s="78"/>
      <c r="B43" s="78" t="s">
        <v>1058</v>
      </c>
      <c r="C43" s="78"/>
      <c r="D43" s="78"/>
      <c r="E43" s="78"/>
      <c r="F43" s="78"/>
      <c r="G43" s="78"/>
      <c r="H43" s="78"/>
      <c r="I43" s="78"/>
      <c r="J43" s="78"/>
    </row>
    <row r="44" spans="1:10" x14ac:dyDescent="0.3">
      <c r="A44" s="78"/>
      <c r="B44" s="78"/>
      <c r="C44" s="78"/>
      <c r="D44" s="78"/>
      <c r="E44" s="78"/>
      <c r="F44" s="78"/>
      <c r="G44" s="78"/>
      <c r="H44" s="78"/>
      <c r="I44" s="78"/>
      <c r="J44" s="78"/>
    </row>
  </sheetData>
  <mergeCells count="4">
    <mergeCell ref="D6:I6"/>
    <mergeCell ref="D7:E7"/>
    <mergeCell ref="F7:G7"/>
    <mergeCell ref="H7:I7"/>
  </mergeCells>
  <conditionalFormatting sqref="B1">
    <cfRule type="cellIs" dxfId="195" priority="1" operator="equal">
      <formula>"Review Later"</formula>
    </cfRule>
    <cfRule type="cellIs" dxfId="194" priority="2" operator="equal">
      <formula>"Finished"</formula>
    </cfRule>
    <cfRule type="cellIs" dxfId="193" priority="3" operator="equal">
      <formula>"Incomplete"</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Z97"/>
  <sheetViews>
    <sheetView zoomScaleNormal="100" workbookViewId="0"/>
  </sheetViews>
  <sheetFormatPr defaultRowHeight="15" x14ac:dyDescent="0.3"/>
  <cols>
    <col min="2" max="2" width="19.109375" style="143" customWidth="1"/>
    <col min="3" max="3" width="12.33203125" style="143" customWidth="1"/>
    <col min="4" max="5" width="9.44140625" style="143" customWidth="1"/>
    <col min="6" max="6" width="10.5546875" style="143" customWidth="1"/>
    <col min="7" max="7" width="11.88671875" style="143" customWidth="1"/>
    <col min="8" max="8" width="9.88671875" style="143" customWidth="1"/>
    <col min="9" max="9" width="10" style="143" bestFit="1" customWidth="1"/>
    <col min="10" max="12" width="9.109375" style="143"/>
    <col min="13" max="13" width="10" bestFit="1" customWidth="1"/>
  </cols>
  <sheetData>
    <row r="1" spans="1:12" thickBot="1" x14ac:dyDescent="0.35">
      <c r="A1" s="105">
        <v>6</v>
      </c>
      <c r="B1" s="4"/>
      <c r="C1" s="106"/>
      <c r="D1" s="107"/>
      <c r="E1" s="107"/>
      <c r="F1" s="107"/>
      <c r="G1" s="107"/>
      <c r="H1" s="107"/>
      <c r="I1" s="108"/>
      <c r="J1"/>
      <c r="K1"/>
      <c r="L1"/>
    </row>
    <row r="2" spans="1:12" ht="14.4" x14ac:dyDescent="0.3">
      <c r="A2" s="109" t="s">
        <v>4</v>
      </c>
      <c r="B2" s="110"/>
      <c r="C2" s="110"/>
      <c r="D2" s="110"/>
      <c r="E2" s="110"/>
      <c r="F2" s="110"/>
      <c r="G2" s="110"/>
      <c r="H2" s="110"/>
      <c r="I2" s="111"/>
      <c r="J2"/>
      <c r="K2"/>
      <c r="L2"/>
    </row>
    <row r="3" spans="1:12" ht="14.4" x14ac:dyDescent="0.3">
      <c r="A3" s="112">
        <v>1.75</v>
      </c>
      <c r="B3" s="113"/>
      <c r="C3" s="110"/>
      <c r="D3" s="110"/>
      <c r="E3" s="110"/>
      <c r="F3" s="110"/>
      <c r="G3" s="110"/>
      <c r="H3" s="110"/>
      <c r="I3" s="111"/>
      <c r="J3"/>
      <c r="K3"/>
      <c r="L3"/>
    </row>
    <row r="4" spans="1:12" ht="14.4" x14ac:dyDescent="0.3">
      <c r="A4" s="112"/>
      <c r="B4" s="110" t="s">
        <v>116</v>
      </c>
      <c r="C4" s="110"/>
      <c r="D4" s="110"/>
      <c r="E4" s="110"/>
      <c r="F4" s="110"/>
      <c r="G4" s="110"/>
      <c r="H4" s="110"/>
      <c r="I4" s="111"/>
      <c r="J4"/>
      <c r="K4"/>
      <c r="L4"/>
    </row>
    <row r="5" spans="1:12" thickBot="1" x14ac:dyDescent="0.35">
      <c r="A5" s="112"/>
      <c r="B5" s="110"/>
      <c r="C5" s="110"/>
      <c r="D5" s="110"/>
      <c r="E5" s="110"/>
      <c r="F5" s="110"/>
      <c r="G5" s="110"/>
      <c r="H5" s="110"/>
      <c r="I5" s="111"/>
      <c r="J5"/>
      <c r="K5"/>
      <c r="L5"/>
    </row>
    <row r="6" spans="1:12" ht="14.4" x14ac:dyDescent="0.3">
      <c r="A6" s="112"/>
      <c r="B6" s="114" t="s">
        <v>117</v>
      </c>
      <c r="C6" s="1078" t="s">
        <v>118</v>
      </c>
      <c r="D6" s="1078"/>
      <c r="E6" s="1078"/>
      <c r="F6" s="1078"/>
      <c r="G6" s="1078"/>
      <c r="H6" s="1079"/>
      <c r="I6" s="111"/>
      <c r="J6"/>
      <c r="K6"/>
      <c r="L6"/>
    </row>
    <row r="7" spans="1:12" thickBot="1" x14ac:dyDescent="0.35">
      <c r="A7" s="112"/>
      <c r="B7" s="115" t="s">
        <v>94</v>
      </c>
      <c r="C7" s="116">
        <v>12</v>
      </c>
      <c r="D7" s="116">
        <v>24</v>
      </c>
      <c r="E7" s="116">
        <v>36</v>
      </c>
      <c r="F7" s="116">
        <v>48</v>
      </c>
      <c r="G7" s="116">
        <v>60</v>
      </c>
      <c r="H7" s="117">
        <v>72</v>
      </c>
      <c r="I7" s="111"/>
      <c r="J7"/>
      <c r="K7"/>
      <c r="L7"/>
    </row>
    <row r="8" spans="1:12" ht="14.4" x14ac:dyDescent="0.3">
      <c r="A8" s="112"/>
      <c r="B8" s="114">
        <v>2010</v>
      </c>
      <c r="C8" s="118">
        <v>26</v>
      </c>
      <c r="D8" s="118">
        <v>52</v>
      </c>
      <c r="E8" s="118">
        <v>71</v>
      </c>
      <c r="F8" s="118">
        <v>80</v>
      </c>
      <c r="G8" s="118">
        <v>85</v>
      </c>
      <c r="H8" s="119">
        <v>89</v>
      </c>
      <c r="I8" s="111"/>
      <c r="J8"/>
      <c r="K8"/>
      <c r="L8"/>
    </row>
    <row r="9" spans="1:12" ht="14.4" x14ac:dyDescent="0.3">
      <c r="A9" s="112"/>
      <c r="B9" s="120">
        <v>2011</v>
      </c>
      <c r="C9" s="121">
        <v>37</v>
      </c>
      <c r="D9" s="121">
        <v>54</v>
      </c>
      <c r="E9" s="121">
        <v>70</v>
      </c>
      <c r="F9" s="121">
        <v>82</v>
      </c>
      <c r="G9" s="121">
        <v>84</v>
      </c>
      <c r="H9" s="122">
        <v>85</v>
      </c>
      <c r="I9" s="111"/>
      <c r="J9"/>
      <c r="K9"/>
      <c r="L9"/>
    </row>
    <row r="10" spans="1:12" ht="14.4" x14ac:dyDescent="0.3">
      <c r="A10" s="112"/>
      <c r="B10" s="120">
        <v>2012</v>
      </c>
      <c r="C10" s="121">
        <v>44</v>
      </c>
      <c r="D10" s="121">
        <v>81</v>
      </c>
      <c r="E10" s="121">
        <v>85</v>
      </c>
      <c r="F10" s="121">
        <v>100</v>
      </c>
      <c r="G10" s="121">
        <v>110</v>
      </c>
      <c r="H10" s="122">
        <v>112</v>
      </c>
      <c r="I10" s="111"/>
      <c r="J10"/>
      <c r="K10"/>
      <c r="L10"/>
    </row>
    <row r="11" spans="1:12" ht="14.4" x14ac:dyDescent="0.3">
      <c r="A11" s="112"/>
      <c r="B11" s="120">
        <v>2013</v>
      </c>
      <c r="C11" s="121">
        <v>19</v>
      </c>
      <c r="D11" s="121">
        <v>44</v>
      </c>
      <c r="E11" s="121">
        <v>59</v>
      </c>
      <c r="F11" s="121">
        <v>67</v>
      </c>
      <c r="G11" s="121">
        <v>70</v>
      </c>
      <c r="H11" s="122"/>
      <c r="I11" s="111"/>
      <c r="J11"/>
      <c r="K11"/>
      <c r="L11"/>
    </row>
    <row r="12" spans="1:12" ht="14.4" x14ac:dyDescent="0.3">
      <c r="A12" s="112"/>
      <c r="B12" s="120">
        <v>2014</v>
      </c>
      <c r="C12" s="121">
        <v>15</v>
      </c>
      <c r="D12" s="121">
        <v>44</v>
      </c>
      <c r="E12" s="121">
        <v>72</v>
      </c>
      <c r="F12" s="121">
        <v>83</v>
      </c>
      <c r="G12" s="121"/>
      <c r="H12" s="122"/>
      <c r="I12" s="111"/>
      <c r="J12"/>
      <c r="K12"/>
      <c r="L12"/>
    </row>
    <row r="13" spans="1:12" ht="14.4" x14ac:dyDescent="0.3">
      <c r="A13" s="112"/>
      <c r="B13" s="120">
        <v>2015</v>
      </c>
      <c r="C13" s="121">
        <v>38</v>
      </c>
      <c r="D13" s="121">
        <v>59</v>
      </c>
      <c r="E13" s="121">
        <v>77</v>
      </c>
      <c r="F13" s="121"/>
      <c r="G13" s="121"/>
      <c r="H13" s="122"/>
      <c r="I13" s="111"/>
      <c r="J13"/>
      <c r="K13"/>
      <c r="L13"/>
    </row>
    <row r="14" spans="1:12" ht="14.4" x14ac:dyDescent="0.3">
      <c r="A14" s="112"/>
      <c r="B14" s="120">
        <v>2016</v>
      </c>
      <c r="C14" s="121">
        <v>33</v>
      </c>
      <c r="D14" s="121">
        <v>65</v>
      </c>
      <c r="E14" s="121"/>
      <c r="F14" s="121"/>
      <c r="G14" s="121"/>
      <c r="H14" s="122"/>
      <c r="I14" s="111"/>
      <c r="J14"/>
      <c r="K14"/>
      <c r="L14"/>
    </row>
    <row r="15" spans="1:12" thickBot="1" x14ac:dyDescent="0.35">
      <c r="A15" s="112"/>
      <c r="B15" s="115">
        <v>2017</v>
      </c>
      <c r="C15" s="123">
        <v>30</v>
      </c>
      <c r="D15" s="123"/>
      <c r="E15" s="123"/>
      <c r="F15" s="123"/>
      <c r="G15" s="123"/>
      <c r="H15" s="124"/>
      <c r="I15" s="111"/>
      <c r="J15"/>
      <c r="K15"/>
      <c r="L15"/>
    </row>
    <row r="16" spans="1:12" thickBot="1" x14ac:dyDescent="0.35">
      <c r="A16" s="112"/>
      <c r="B16" s="125"/>
      <c r="C16" s="125"/>
      <c r="D16" s="125"/>
      <c r="E16" s="125"/>
      <c r="F16" s="125"/>
      <c r="G16" s="125"/>
      <c r="H16" s="125"/>
      <c r="I16" s="111"/>
      <c r="J16"/>
      <c r="K16"/>
      <c r="L16"/>
    </row>
    <row r="17" spans="1:12" ht="14.4" x14ac:dyDescent="0.3">
      <c r="A17" s="112"/>
      <c r="B17" s="126" t="s">
        <v>119</v>
      </c>
      <c r="C17" s="126" t="s">
        <v>120</v>
      </c>
      <c r="D17" s="127"/>
      <c r="E17" s="125"/>
      <c r="F17" s="125"/>
      <c r="G17" s="125"/>
      <c r="H17" s="125"/>
      <c r="I17" s="111"/>
      <c r="J17"/>
      <c r="K17"/>
      <c r="L17"/>
    </row>
    <row r="18" spans="1:12" ht="14.4" x14ac:dyDescent="0.3">
      <c r="A18" s="112"/>
      <c r="B18" s="128" t="s">
        <v>121</v>
      </c>
      <c r="C18" s="129">
        <v>0.3</v>
      </c>
      <c r="D18" s="130"/>
      <c r="E18" s="125"/>
      <c r="F18" s="125"/>
      <c r="G18" s="125"/>
      <c r="H18" s="125"/>
      <c r="I18" s="111"/>
      <c r="J18"/>
      <c r="K18"/>
      <c r="L18"/>
    </row>
    <row r="19" spans="1:12" ht="14.4" x14ac:dyDescent="0.3">
      <c r="A19" s="112"/>
      <c r="B19" s="128" t="s">
        <v>122</v>
      </c>
      <c r="C19" s="129">
        <v>0.6</v>
      </c>
      <c r="D19" s="130"/>
      <c r="E19" s="125"/>
      <c r="F19" s="125"/>
      <c r="G19" s="125"/>
      <c r="H19" s="125"/>
      <c r="I19" s="111"/>
      <c r="J19"/>
      <c r="K19"/>
      <c r="L19"/>
    </row>
    <row r="20" spans="1:12" ht="14.4" x14ac:dyDescent="0.3">
      <c r="A20" s="112"/>
      <c r="B20" s="128" t="s">
        <v>123</v>
      </c>
      <c r="C20" s="129">
        <v>0.8</v>
      </c>
      <c r="D20" s="130"/>
      <c r="E20" s="125"/>
      <c r="F20" s="125"/>
      <c r="G20" s="125"/>
      <c r="H20" s="125"/>
      <c r="I20" s="111"/>
      <c r="J20"/>
      <c r="K20"/>
      <c r="L20"/>
    </row>
    <row r="21" spans="1:12" ht="14.4" x14ac:dyDescent="0.3">
      <c r="A21" s="112"/>
      <c r="B21" s="128" t="s">
        <v>124</v>
      </c>
      <c r="C21" s="129">
        <v>0.9</v>
      </c>
      <c r="D21" s="130"/>
      <c r="E21" s="125"/>
      <c r="F21" s="125"/>
      <c r="G21" s="125"/>
      <c r="H21" s="125"/>
      <c r="I21" s="111"/>
      <c r="J21"/>
      <c r="K21"/>
      <c r="L21"/>
    </row>
    <row r="22" spans="1:12" ht="14.4" x14ac:dyDescent="0.3">
      <c r="A22" s="112"/>
      <c r="B22" s="128" t="s">
        <v>125</v>
      </c>
      <c r="C22" s="129">
        <v>0.95</v>
      </c>
      <c r="D22" s="130"/>
      <c r="E22" s="125"/>
      <c r="F22" s="125"/>
      <c r="G22" s="125"/>
      <c r="H22" s="125"/>
      <c r="I22" s="111"/>
      <c r="J22"/>
      <c r="K22"/>
      <c r="L22"/>
    </row>
    <row r="23" spans="1:12" thickBot="1" x14ac:dyDescent="0.35">
      <c r="A23" s="112"/>
      <c r="B23" s="131" t="s">
        <v>126</v>
      </c>
      <c r="C23" s="132">
        <v>1</v>
      </c>
      <c r="D23" s="130"/>
      <c r="E23" s="125"/>
      <c r="F23" s="125"/>
      <c r="G23" s="125"/>
      <c r="H23" s="125"/>
      <c r="I23" s="111"/>
      <c r="J23"/>
      <c r="K23"/>
      <c r="L23"/>
    </row>
    <row r="24" spans="1:12" ht="14.4" x14ac:dyDescent="0.3">
      <c r="A24" s="112"/>
      <c r="B24" s="133"/>
      <c r="C24" s="133"/>
      <c r="D24" s="134"/>
      <c r="E24" s="135"/>
      <c r="F24" s="125"/>
      <c r="G24" s="125"/>
      <c r="H24" s="125"/>
      <c r="I24" s="111"/>
      <c r="J24"/>
      <c r="K24"/>
      <c r="L24"/>
    </row>
    <row r="25" spans="1:12" ht="14.4" x14ac:dyDescent="0.3">
      <c r="A25" s="127"/>
      <c r="B25" s="127" t="s">
        <v>127</v>
      </c>
      <c r="C25" s="125"/>
      <c r="D25" s="125"/>
      <c r="E25" s="125"/>
      <c r="F25" s="125"/>
      <c r="G25" s="125"/>
      <c r="H25" s="125"/>
      <c r="I25" s="111"/>
      <c r="J25"/>
      <c r="K25"/>
      <c r="L25"/>
    </row>
    <row r="26" spans="1:12" ht="14.4" x14ac:dyDescent="0.3">
      <c r="A26" s="127"/>
      <c r="B26" s="127" t="s">
        <v>128</v>
      </c>
      <c r="C26" s="125"/>
      <c r="D26" s="125"/>
      <c r="E26" s="125"/>
      <c r="F26" s="125"/>
      <c r="G26" s="125"/>
      <c r="H26" s="125"/>
      <c r="I26" s="111"/>
      <c r="J26"/>
      <c r="K26"/>
      <c r="L26"/>
    </row>
    <row r="27" spans="1:12" ht="14.4" x14ac:dyDescent="0.3">
      <c r="A27" s="127"/>
      <c r="B27" s="127" t="s">
        <v>129</v>
      </c>
      <c r="C27" s="125"/>
      <c r="D27" s="125"/>
      <c r="E27" s="125"/>
      <c r="F27" s="125"/>
      <c r="G27" s="125"/>
      <c r="H27" s="125"/>
      <c r="I27" s="111"/>
      <c r="J27"/>
      <c r="K27"/>
      <c r="L27"/>
    </row>
    <row r="28" spans="1:12" ht="14.4" x14ac:dyDescent="0.3">
      <c r="A28" s="127"/>
      <c r="B28" s="127" t="s">
        <v>130</v>
      </c>
      <c r="C28" s="127"/>
      <c r="D28" s="125"/>
      <c r="E28" s="125"/>
      <c r="F28" s="125"/>
      <c r="G28" s="125"/>
      <c r="H28" s="125"/>
      <c r="I28" s="111"/>
      <c r="J28"/>
      <c r="K28"/>
      <c r="L28"/>
    </row>
    <row r="29" spans="1:12" ht="14.4" x14ac:dyDescent="0.3">
      <c r="A29" s="127"/>
      <c r="B29" s="127" t="s">
        <v>131</v>
      </c>
      <c r="C29" s="127"/>
      <c r="D29" s="125"/>
      <c r="E29" s="125"/>
      <c r="F29" s="125"/>
      <c r="G29" s="125"/>
      <c r="H29" s="125"/>
      <c r="I29" s="111"/>
      <c r="J29"/>
      <c r="K29"/>
      <c r="L29"/>
    </row>
    <row r="30" spans="1:12" ht="14.4" x14ac:dyDescent="0.3">
      <c r="A30" s="112"/>
      <c r="B30" s="110"/>
      <c r="C30" s="110"/>
      <c r="D30" s="110"/>
      <c r="E30" s="110"/>
      <c r="F30" s="110"/>
      <c r="G30" s="110"/>
      <c r="H30" s="110"/>
      <c r="I30" s="111"/>
      <c r="J30"/>
      <c r="K30"/>
      <c r="L30"/>
    </row>
    <row r="31" spans="1:12" ht="14.4" x14ac:dyDescent="0.3">
      <c r="A31" s="112">
        <v>0.25</v>
      </c>
      <c r="B31" s="136" t="s">
        <v>0</v>
      </c>
      <c r="C31" s="110"/>
      <c r="D31" s="110"/>
      <c r="E31" s="110"/>
      <c r="F31" s="110"/>
      <c r="G31" s="110"/>
      <c r="H31" s="110"/>
      <c r="I31" s="111"/>
      <c r="J31"/>
      <c r="K31"/>
      <c r="L31"/>
    </row>
    <row r="32" spans="1:12" ht="14.4" x14ac:dyDescent="0.3">
      <c r="A32" s="112"/>
      <c r="B32" s="137" t="s">
        <v>132</v>
      </c>
      <c r="C32" s="110"/>
      <c r="D32" s="110"/>
      <c r="E32" s="110"/>
      <c r="F32" s="110"/>
      <c r="G32" s="110"/>
      <c r="H32" s="110"/>
      <c r="I32" s="111"/>
      <c r="J32"/>
      <c r="K32"/>
      <c r="L32"/>
    </row>
    <row r="33" spans="1:12" ht="14.4" x14ac:dyDescent="0.3">
      <c r="A33" s="112"/>
      <c r="B33" s="137"/>
      <c r="C33" s="110"/>
      <c r="D33" s="110"/>
      <c r="E33" s="110"/>
      <c r="F33" s="110"/>
      <c r="G33" s="110"/>
      <c r="H33" s="110"/>
      <c r="I33" s="111"/>
      <c r="J33"/>
      <c r="K33"/>
      <c r="L33"/>
    </row>
    <row r="34" spans="1:12" ht="14.4" x14ac:dyDescent="0.3">
      <c r="A34" s="112">
        <v>0.25</v>
      </c>
      <c r="B34" s="137" t="s">
        <v>1</v>
      </c>
      <c r="C34" s="110"/>
      <c r="D34" s="110"/>
      <c r="E34" s="110"/>
      <c r="F34" s="110"/>
      <c r="G34" s="110"/>
      <c r="H34" s="110"/>
      <c r="I34" s="111"/>
      <c r="J34"/>
      <c r="K34"/>
      <c r="L34"/>
    </row>
    <row r="35" spans="1:12" ht="14.4" x14ac:dyDescent="0.3">
      <c r="A35" s="112"/>
      <c r="B35" s="110" t="s">
        <v>133</v>
      </c>
      <c r="C35" s="110"/>
      <c r="D35" s="110"/>
      <c r="E35" s="110"/>
      <c r="F35" s="110"/>
      <c r="G35" s="110"/>
      <c r="H35" s="110"/>
      <c r="I35" s="111"/>
      <c r="J35"/>
      <c r="K35"/>
      <c r="L35"/>
    </row>
    <row r="36" spans="1:12" ht="14.4" x14ac:dyDescent="0.3">
      <c r="A36" s="112"/>
      <c r="B36" s="110"/>
      <c r="C36" s="110"/>
      <c r="D36" s="110"/>
      <c r="E36" s="110"/>
      <c r="F36" s="110"/>
      <c r="G36" s="110"/>
      <c r="H36" s="110"/>
      <c r="I36" s="111"/>
      <c r="J36"/>
      <c r="K36"/>
      <c r="L36"/>
    </row>
    <row r="37" spans="1:12" ht="14.4" x14ac:dyDescent="0.3">
      <c r="A37" s="112">
        <v>1</v>
      </c>
      <c r="B37" s="110" t="s">
        <v>2</v>
      </c>
      <c r="C37" s="110"/>
      <c r="D37" s="110"/>
      <c r="E37" s="110"/>
      <c r="F37" s="110"/>
      <c r="G37" s="110"/>
      <c r="H37" s="110"/>
      <c r="I37" s="111"/>
      <c r="J37"/>
      <c r="K37"/>
      <c r="L37"/>
    </row>
    <row r="38" spans="1:12" ht="14.4" x14ac:dyDescent="0.3">
      <c r="A38" s="112"/>
      <c r="B38" s="110" t="s">
        <v>134</v>
      </c>
      <c r="C38" s="110"/>
      <c r="D38" s="110"/>
      <c r="E38" s="110"/>
      <c r="F38" s="110"/>
      <c r="G38" s="110"/>
      <c r="H38" s="110"/>
      <c r="I38" s="111"/>
      <c r="J38"/>
      <c r="K38"/>
      <c r="L38"/>
    </row>
    <row r="39" spans="1:12" ht="14.4" x14ac:dyDescent="0.3">
      <c r="A39" s="112"/>
      <c r="B39" s="110" t="s">
        <v>135</v>
      </c>
      <c r="C39" s="110"/>
      <c r="D39" s="110"/>
      <c r="E39" s="110"/>
      <c r="F39" s="110"/>
      <c r="G39" s="110"/>
      <c r="H39" s="110"/>
      <c r="I39" s="111"/>
      <c r="J39"/>
      <c r="K39"/>
      <c r="L39"/>
    </row>
    <row r="40" spans="1:12" ht="14.4" x14ac:dyDescent="0.3">
      <c r="A40" s="112"/>
      <c r="B40" s="110"/>
      <c r="C40" s="110"/>
      <c r="D40" s="110"/>
      <c r="E40" s="110"/>
      <c r="F40" s="110"/>
      <c r="G40" s="110"/>
      <c r="H40" s="110"/>
      <c r="I40" s="111"/>
      <c r="J40"/>
      <c r="K40"/>
      <c r="L40"/>
    </row>
    <row r="41" spans="1:12" ht="14.4" x14ac:dyDescent="0.3">
      <c r="A41" s="112">
        <v>0.25</v>
      </c>
      <c r="B41" s="110" t="s">
        <v>3</v>
      </c>
      <c r="C41" s="110"/>
      <c r="D41" s="110"/>
      <c r="E41" s="110"/>
      <c r="F41" s="110"/>
      <c r="G41" s="110"/>
      <c r="H41" s="110"/>
      <c r="I41" s="111"/>
      <c r="J41"/>
      <c r="K41"/>
      <c r="L41"/>
    </row>
    <row r="42" spans="1:12" ht="14.4" x14ac:dyDescent="0.3">
      <c r="A42" s="112"/>
      <c r="B42" s="110" t="s">
        <v>136</v>
      </c>
      <c r="C42" s="110"/>
      <c r="D42" s="110"/>
      <c r="E42" s="110"/>
      <c r="F42" s="110"/>
      <c r="G42" s="110"/>
      <c r="H42" s="110"/>
      <c r="I42" s="111"/>
      <c r="J42"/>
      <c r="K42"/>
      <c r="L42"/>
    </row>
    <row r="43" spans="1:12" thickBot="1" x14ac:dyDescent="0.35">
      <c r="A43" s="138"/>
      <c r="B43" s="139"/>
      <c r="C43" s="140"/>
      <c r="D43" s="140"/>
      <c r="E43" s="140"/>
      <c r="F43" s="140"/>
      <c r="G43" s="140"/>
      <c r="H43" s="140"/>
      <c r="I43" s="141"/>
      <c r="J43"/>
      <c r="K43"/>
      <c r="L43"/>
    </row>
    <row r="44" spans="1:12" ht="14.4" x14ac:dyDescent="0.3">
      <c r="B44"/>
      <c r="C44"/>
      <c r="D44"/>
      <c r="E44"/>
      <c r="F44"/>
      <c r="G44"/>
      <c r="H44"/>
      <c r="I44"/>
      <c r="J44"/>
      <c r="K44"/>
      <c r="L44"/>
    </row>
    <row r="45" spans="1:12" ht="15.6" thickBot="1" x14ac:dyDescent="0.35">
      <c r="B45" s="142" t="s">
        <v>39</v>
      </c>
    </row>
    <row r="46" spans="1:12" x14ac:dyDescent="0.3">
      <c r="B46" s="1080" t="s">
        <v>90</v>
      </c>
      <c r="C46" s="1082" t="s">
        <v>118</v>
      </c>
      <c r="D46" s="1082"/>
      <c r="E46" s="1082"/>
      <c r="F46" s="1082"/>
      <c r="G46" s="1082"/>
      <c r="H46" s="1083"/>
    </row>
    <row r="47" spans="1:12" ht="15.6" thickBot="1" x14ac:dyDescent="0.35">
      <c r="B47" s="1081"/>
      <c r="C47" s="144">
        <v>12</v>
      </c>
      <c r="D47" s="144">
        <v>24</v>
      </c>
      <c r="E47" s="144">
        <v>36</v>
      </c>
      <c r="F47" s="144">
        <v>48</v>
      </c>
      <c r="G47" s="144">
        <v>60</v>
      </c>
      <c r="H47" s="145">
        <v>72</v>
      </c>
    </row>
    <row r="48" spans="1:12" x14ac:dyDescent="0.3">
      <c r="B48" s="146">
        <v>2010</v>
      </c>
      <c r="C48" s="147">
        <f>C8</f>
        <v>26</v>
      </c>
      <c r="D48" s="147">
        <f t="shared" ref="D48:H48" si="0">D8</f>
        <v>52</v>
      </c>
      <c r="E48" s="147">
        <f t="shared" si="0"/>
        <v>71</v>
      </c>
      <c r="F48" s="147">
        <f t="shared" si="0"/>
        <v>80</v>
      </c>
      <c r="G48" s="148">
        <f t="shared" si="0"/>
        <v>85</v>
      </c>
      <c r="H48" s="149">
        <f t="shared" si="0"/>
        <v>89</v>
      </c>
    </row>
    <row r="49" spans="1:52" x14ac:dyDescent="0.3">
      <c r="B49" s="146">
        <v>2011</v>
      </c>
      <c r="C49" s="147">
        <f t="shared" ref="C49:H55" si="1">C9</f>
        <v>37</v>
      </c>
      <c r="D49" s="147">
        <f t="shared" si="1"/>
        <v>54</v>
      </c>
      <c r="E49" s="147">
        <f t="shared" si="1"/>
        <v>70</v>
      </c>
      <c r="F49" s="148">
        <f t="shared" si="1"/>
        <v>82</v>
      </c>
      <c r="G49" s="147">
        <f t="shared" si="1"/>
        <v>84</v>
      </c>
      <c r="H49" s="149">
        <f t="shared" si="1"/>
        <v>85</v>
      </c>
    </row>
    <row r="50" spans="1:52" x14ac:dyDescent="0.3">
      <c r="B50" s="146">
        <v>2012</v>
      </c>
      <c r="C50" s="147">
        <f t="shared" si="1"/>
        <v>44</v>
      </c>
      <c r="D50" s="147">
        <f t="shared" si="1"/>
        <v>81</v>
      </c>
      <c r="E50" s="148">
        <f t="shared" si="1"/>
        <v>85</v>
      </c>
      <c r="F50" s="147">
        <f t="shared" si="1"/>
        <v>100</v>
      </c>
      <c r="G50" s="147">
        <f t="shared" si="1"/>
        <v>110</v>
      </c>
      <c r="H50" s="149">
        <f t="shared" si="1"/>
        <v>112</v>
      </c>
    </row>
    <row r="51" spans="1:52" x14ac:dyDescent="0.3">
      <c r="B51" s="146">
        <v>2013</v>
      </c>
      <c r="C51" s="147">
        <f t="shared" si="1"/>
        <v>19</v>
      </c>
      <c r="D51" s="148">
        <f t="shared" si="1"/>
        <v>44</v>
      </c>
      <c r="E51" s="147">
        <f t="shared" si="1"/>
        <v>59</v>
      </c>
      <c r="F51" s="147">
        <f t="shared" si="1"/>
        <v>67</v>
      </c>
      <c r="G51" s="147">
        <f t="shared" si="1"/>
        <v>70</v>
      </c>
      <c r="H51" s="150"/>
    </row>
    <row r="52" spans="1:52" x14ac:dyDescent="0.3">
      <c r="B52" s="146">
        <v>2014</v>
      </c>
      <c r="C52" s="148">
        <f t="shared" si="1"/>
        <v>15</v>
      </c>
      <c r="D52" s="147">
        <f t="shared" si="1"/>
        <v>44</v>
      </c>
      <c r="E52" s="147">
        <f t="shared" si="1"/>
        <v>72</v>
      </c>
      <c r="F52" s="147">
        <f t="shared" si="1"/>
        <v>83</v>
      </c>
      <c r="G52" s="151"/>
      <c r="H52" s="150"/>
    </row>
    <row r="53" spans="1:52" x14ac:dyDescent="0.3">
      <c r="B53" s="146">
        <v>2015</v>
      </c>
      <c r="C53" s="147">
        <f t="shared" si="1"/>
        <v>38</v>
      </c>
      <c r="D53" s="147">
        <f t="shared" si="1"/>
        <v>59</v>
      </c>
      <c r="E53" s="147">
        <f t="shared" si="1"/>
        <v>77</v>
      </c>
      <c r="F53" s="151"/>
      <c r="G53" s="151"/>
      <c r="H53" s="150"/>
    </row>
    <row r="54" spans="1:52" x14ac:dyDescent="0.3">
      <c r="B54" s="146">
        <v>2016</v>
      </c>
      <c r="C54" s="147">
        <f t="shared" si="1"/>
        <v>33</v>
      </c>
      <c r="D54" s="147">
        <f t="shared" si="1"/>
        <v>65</v>
      </c>
      <c r="E54" s="151"/>
      <c r="F54" s="151"/>
      <c r="G54" s="151"/>
      <c r="H54" s="150"/>
    </row>
    <row r="55" spans="1:52" ht="15.6" thickBot="1" x14ac:dyDescent="0.35">
      <c r="B55" s="152">
        <v>2017</v>
      </c>
      <c r="C55" s="144">
        <f t="shared" si="1"/>
        <v>30</v>
      </c>
      <c r="D55" s="153"/>
      <c r="E55" s="153"/>
      <c r="F55" s="153"/>
      <c r="G55" s="153"/>
      <c r="H55" s="154"/>
    </row>
    <row r="56" spans="1:52" x14ac:dyDescent="0.3">
      <c r="B56" s="155"/>
    </row>
    <row r="57" spans="1:52" x14ac:dyDescent="0.3">
      <c r="B57" s="156" t="s">
        <v>137</v>
      </c>
    </row>
    <row r="58" spans="1:52" x14ac:dyDescent="0.3">
      <c r="B58" s="157">
        <f>C52+D51+E50+F49+G48</f>
        <v>311</v>
      </c>
    </row>
    <row r="60" spans="1:52" s="143" customFormat="1" ht="15.6" thickBot="1" x14ac:dyDescent="0.35">
      <c r="A60"/>
      <c r="B60" s="142" t="s">
        <v>40</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row>
    <row r="61" spans="1:52" s="143" customFormat="1" x14ac:dyDescent="0.3">
      <c r="A61"/>
      <c r="B61" s="1080" t="s">
        <v>90</v>
      </c>
      <c r="C61" s="1082" t="s">
        <v>118</v>
      </c>
      <c r="D61" s="1082"/>
      <c r="E61" s="1082"/>
      <c r="F61" s="1082"/>
      <c r="G61" s="1082"/>
      <c r="H61" s="108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row>
    <row r="62" spans="1:52" s="143" customFormat="1" ht="15.6" thickBot="1" x14ac:dyDescent="0.35">
      <c r="A62"/>
      <c r="B62" s="1081"/>
      <c r="C62" s="144">
        <v>12</v>
      </c>
      <c r="D62" s="144">
        <v>24</v>
      </c>
      <c r="E62" s="144">
        <v>36</v>
      </c>
      <c r="F62" s="144">
        <v>48</v>
      </c>
      <c r="G62" s="144">
        <v>60</v>
      </c>
      <c r="H62" s="145">
        <v>72</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row>
    <row r="63" spans="1:52" s="143" customFormat="1" x14ac:dyDescent="0.3">
      <c r="A63"/>
      <c r="B63" s="146">
        <v>2010</v>
      </c>
      <c r="C63" s="158">
        <f>C8</f>
        <v>26</v>
      </c>
      <c r="D63" s="159">
        <f t="shared" ref="D63:H63" si="2">D8</f>
        <v>52</v>
      </c>
      <c r="E63" s="159">
        <f t="shared" si="2"/>
        <v>71</v>
      </c>
      <c r="F63" s="159">
        <f t="shared" si="2"/>
        <v>80</v>
      </c>
      <c r="G63" s="159">
        <f t="shared" si="2"/>
        <v>85</v>
      </c>
      <c r="H63" s="160">
        <f t="shared" si="2"/>
        <v>89</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row>
    <row r="64" spans="1:52" s="143" customFormat="1" x14ac:dyDescent="0.3">
      <c r="A64"/>
      <c r="B64" s="146">
        <v>2011</v>
      </c>
      <c r="C64" s="161">
        <f t="shared" ref="C64:H70" si="3">C9</f>
        <v>37</v>
      </c>
      <c r="D64" s="147">
        <f t="shared" si="3"/>
        <v>54</v>
      </c>
      <c r="E64" s="147">
        <f t="shared" si="3"/>
        <v>70</v>
      </c>
      <c r="F64" s="147">
        <f t="shared" si="3"/>
        <v>82</v>
      </c>
      <c r="G64" s="147">
        <f t="shared" si="3"/>
        <v>84</v>
      </c>
      <c r="H64" s="149">
        <f t="shared" si="3"/>
        <v>85</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row>
    <row r="65" spans="1:52" s="143" customFormat="1" x14ac:dyDescent="0.3">
      <c r="A65"/>
      <c r="B65" s="146">
        <v>2012</v>
      </c>
      <c r="C65" s="161">
        <f t="shared" si="3"/>
        <v>44</v>
      </c>
      <c r="D65" s="147">
        <f t="shared" si="3"/>
        <v>81</v>
      </c>
      <c r="E65" s="147">
        <f t="shared" si="3"/>
        <v>85</v>
      </c>
      <c r="F65" s="147">
        <f t="shared" si="3"/>
        <v>100</v>
      </c>
      <c r="G65" s="147">
        <f t="shared" si="3"/>
        <v>110</v>
      </c>
      <c r="H65" s="149">
        <f t="shared" si="3"/>
        <v>112</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row>
    <row r="66" spans="1:52" s="143" customFormat="1" x14ac:dyDescent="0.3">
      <c r="A66"/>
      <c r="B66" s="146">
        <v>2013</v>
      </c>
      <c r="C66" s="161">
        <f t="shared" si="3"/>
        <v>19</v>
      </c>
      <c r="D66" s="147">
        <f t="shared" si="3"/>
        <v>44</v>
      </c>
      <c r="E66" s="147">
        <f t="shared" si="3"/>
        <v>59</v>
      </c>
      <c r="F66" s="147">
        <f t="shared" si="3"/>
        <v>67</v>
      </c>
      <c r="G66" s="147">
        <f t="shared" si="3"/>
        <v>70</v>
      </c>
      <c r="H66" s="149"/>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row>
    <row r="67" spans="1:52" s="143" customFormat="1" x14ac:dyDescent="0.3">
      <c r="A67"/>
      <c r="B67" s="146">
        <v>2014</v>
      </c>
      <c r="C67" s="161">
        <f t="shared" si="3"/>
        <v>15</v>
      </c>
      <c r="D67" s="147">
        <f t="shared" si="3"/>
        <v>44</v>
      </c>
      <c r="E67" s="147">
        <f t="shared" si="3"/>
        <v>72</v>
      </c>
      <c r="F67" s="147">
        <f t="shared" si="3"/>
        <v>83</v>
      </c>
      <c r="G67" s="147"/>
      <c r="H67" s="149"/>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row>
    <row r="68" spans="1:52" s="143" customFormat="1" x14ac:dyDescent="0.3">
      <c r="A68"/>
      <c r="B68" s="146">
        <v>2015</v>
      </c>
      <c r="C68" s="161">
        <f t="shared" si="3"/>
        <v>38</v>
      </c>
      <c r="D68" s="147">
        <f t="shared" si="3"/>
        <v>59</v>
      </c>
      <c r="E68" s="148">
        <f t="shared" si="3"/>
        <v>77</v>
      </c>
      <c r="F68" s="147"/>
      <c r="G68" s="147"/>
      <c r="H68" s="149"/>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row>
    <row r="69" spans="1:52" s="143" customFormat="1" x14ac:dyDescent="0.3">
      <c r="A69"/>
      <c r="B69" s="146">
        <v>2016</v>
      </c>
      <c r="C69" s="161">
        <f t="shared" si="3"/>
        <v>33</v>
      </c>
      <c r="D69" s="148">
        <f t="shared" si="3"/>
        <v>65</v>
      </c>
      <c r="E69" s="147"/>
      <c r="F69" s="147"/>
      <c r="G69" s="147"/>
      <c r="H69" s="14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row>
    <row r="70" spans="1:52" s="143" customFormat="1" ht="15.6" thickBot="1" x14ac:dyDescent="0.35">
      <c r="A70"/>
      <c r="B70" s="152">
        <v>2017</v>
      </c>
      <c r="C70" s="162">
        <f t="shared" si="3"/>
        <v>30</v>
      </c>
      <c r="D70" s="144"/>
      <c r="E70" s="144"/>
      <c r="F70" s="144"/>
      <c r="G70" s="144"/>
      <c r="H70" s="14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row>
    <row r="72" spans="1:52" s="143" customFormat="1" x14ac:dyDescent="0.3">
      <c r="A72"/>
      <c r="B72" s="156" t="s">
        <v>138</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row>
    <row r="73" spans="1:52" s="143" customFormat="1" x14ac:dyDescent="0.3">
      <c r="A73"/>
      <c r="B73" s="157">
        <f>C70+D69+E68</f>
        <v>172</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row>
    <row r="75" spans="1:52" s="143" customFormat="1" x14ac:dyDescent="0.3">
      <c r="A75"/>
      <c r="B75" s="142" t="s">
        <v>41</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row>
    <row r="76" spans="1:52" s="143" customFormat="1" x14ac:dyDescent="0.3">
      <c r="A76"/>
      <c r="B76" s="143" t="s">
        <v>139</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row>
    <row r="77" spans="1:52" s="143" customFormat="1" ht="16.8" x14ac:dyDescent="0.3">
      <c r="A77"/>
      <c r="B77" s="156" t="s">
        <v>140</v>
      </c>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row>
    <row r="78" spans="1:52" s="143" customFormat="1" ht="15.6" thickBot="1" x14ac:dyDescent="0.35">
      <c r="A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row>
    <row r="79" spans="1:52" s="143" customFormat="1" x14ac:dyDescent="0.3">
      <c r="A79"/>
      <c r="B79" s="1080" t="s">
        <v>90</v>
      </c>
      <c r="C79" s="1082" t="s">
        <v>118</v>
      </c>
      <c r="D79" s="1082"/>
      <c r="E79" s="1082"/>
      <c r="F79" s="1082"/>
      <c r="G79" s="1082"/>
      <c r="H79" s="1083"/>
      <c r="I79" s="1076" t="s">
        <v>141</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row>
    <row r="80" spans="1:52" s="143" customFormat="1" ht="15.6" thickBot="1" x14ac:dyDescent="0.35">
      <c r="A80"/>
      <c r="B80" s="1081"/>
      <c r="C80" s="144">
        <v>12</v>
      </c>
      <c r="D80" s="144">
        <v>24</v>
      </c>
      <c r="E80" s="144">
        <v>36</v>
      </c>
      <c r="F80" s="144">
        <v>48</v>
      </c>
      <c r="G80" s="144">
        <v>60</v>
      </c>
      <c r="H80" s="145">
        <v>72</v>
      </c>
      <c r="I80" s="1077" t="s">
        <v>141</v>
      </c>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row>
    <row r="81" spans="1:52" s="143" customFormat="1" x14ac:dyDescent="0.3">
      <c r="A81"/>
      <c r="B81" s="146">
        <v>2010</v>
      </c>
      <c r="C81" s="158">
        <f t="shared" ref="C81:H83" si="4">C63</f>
        <v>26</v>
      </c>
      <c r="D81" s="159">
        <f t="shared" si="4"/>
        <v>52</v>
      </c>
      <c r="E81" s="159">
        <f t="shared" si="4"/>
        <v>71</v>
      </c>
      <c r="F81" s="159">
        <f t="shared" si="4"/>
        <v>80</v>
      </c>
      <c r="G81" s="159">
        <f t="shared" si="4"/>
        <v>85</v>
      </c>
      <c r="H81" s="160">
        <f t="shared" si="4"/>
        <v>89</v>
      </c>
      <c r="I81" s="163">
        <f>H81</f>
        <v>89</v>
      </c>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row>
    <row r="82" spans="1:52" s="143" customFormat="1" x14ac:dyDescent="0.3">
      <c r="A82"/>
      <c r="B82" s="146">
        <v>2011</v>
      </c>
      <c r="C82" s="161">
        <f t="shared" si="4"/>
        <v>37</v>
      </c>
      <c r="D82" s="147">
        <f t="shared" si="4"/>
        <v>54</v>
      </c>
      <c r="E82" s="147">
        <f t="shared" si="4"/>
        <v>70</v>
      </c>
      <c r="F82" s="147">
        <f t="shared" si="4"/>
        <v>82</v>
      </c>
      <c r="G82" s="147">
        <f t="shared" si="4"/>
        <v>84</v>
      </c>
      <c r="H82" s="149">
        <f t="shared" si="4"/>
        <v>85</v>
      </c>
      <c r="I82" s="146">
        <f>H82</f>
        <v>85</v>
      </c>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row>
    <row r="83" spans="1:52" s="143" customFormat="1" x14ac:dyDescent="0.3">
      <c r="A83"/>
      <c r="B83" s="146">
        <v>2012</v>
      </c>
      <c r="C83" s="161">
        <f t="shared" si="4"/>
        <v>44</v>
      </c>
      <c r="D83" s="147">
        <f t="shared" si="4"/>
        <v>81</v>
      </c>
      <c r="E83" s="147">
        <f t="shared" si="4"/>
        <v>85</v>
      </c>
      <c r="F83" s="147">
        <f t="shared" si="4"/>
        <v>100</v>
      </c>
      <c r="G83" s="147">
        <f t="shared" si="4"/>
        <v>110</v>
      </c>
      <c r="H83" s="149">
        <f t="shared" si="4"/>
        <v>112</v>
      </c>
      <c r="I83" s="146">
        <f>H83</f>
        <v>112</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row>
    <row r="84" spans="1:52" s="143" customFormat="1" x14ac:dyDescent="0.3">
      <c r="A84"/>
      <c r="B84" s="146">
        <v>2013</v>
      </c>
      <c r="C84" s="161">
        <f>C66</f>
        <v>19</v>
      </c>
      <c r="D84" s="147">
        <f>D66</f>
        <v>44</v>
      </c>
      <c r="E84" s="147">
        <f>E66</f>
        <v>59</v>
      </c>
      <c r="F84" s="147">
        <f>F66</f>
        <v>67</v>
      </c>
      <c r="G84" s="147">
        <f>G66</f>
        <v>70</v>
      </c>
      <c r="H84" s="164"/>
      <c r="I84" s="165">
        <f>G84/C22</f>
        <v>73.684210526315795</v>
      </c>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row>
    <row r="85" spans="1:52" s="143" customFormat="1" ht="15.6" thickBot="1" x14ac:dyDescent="0.35">
      <c r="A85"/>
      <c r="B85" s="152">
        <v>2014</v>
      </c>
      <c r="C85" s="166">
        <f>C67</f>
        <v>15</v>
      </c>
      <c r="D85" s="144">
        <f>D67</f>
        <v>44</v>
      </c>
      <c r="E85" s="144">
        <f>E67</f>
        <v>72</v>
      </c>
      <c r="F85" s="144">
        <f>F67</f>
        <v>83</v>
      </c>
      <c r="G85" s="167"/>
      <c r="H85" s="168"/>
      <c r="I85" s="169">
        <f>F85/C21</f>
        <v>92.222222222222214</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row>
    <row r="86" spans="1:52" s="143" customFormat="1" x14ac:dyDescent="0.3">
      <c r="A86"/>
      <c r="B86" s="156" t="s">
        <v>142</v>
      </c>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row>
    <row r="87" spans="1:52" s="143" customFormat="1" x14ac:dyDescent="0.3">
      <c r="A87"/>
      <c r="B87" s="156"/>
      <c r="C87" s="170"/>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row>
    <row r="88" spans="1:52" s="143" customFormat="1" x14ac:dyDescent="0.3">
      <c r="A88"/>
      <c r="B88" s="156"/>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row>
    <row r="89" spans="1:52" s="143" customFormat="1" x14ac:dyDescent="0.3">
      <c r="A89"/>
      <c r="B89" s="156" t="s">
        <v>143</v>
      </c>
      <c r="D89" s="171">
        <f>SUM(I81:I85)</f>
        <v>451.90643274853801</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row>
    <row r="90" spans="1:52" s="143" customFormat="1" x14ac:dyDescent="0.3">
      <c r="A90"/>
      <c r="B90" s="156"/>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1:52" s="143" customFormat="1" x14ac:dyDescent="0.3">
      <c r="A91"/>
      <c r="B91" s="156" t="s">
        <v>144</v>
      </c>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row>
    <row r="92" spans="1:52" s="143" customFormat="1" x14ac:dyDescent="0.3">
      <c r="A92"/>
      <c r="B92" s="156"/>
      <c r="C92" s="172">
        <f>D89-B58</f>
        <v>140.90643274853801</v>
      </c>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row>
    <row r="93" spans="1:52" s="143" customFormat="1" x14ac:dyDescent="0.3">
      <c r="A93"/>
      <c r="B93" s="156"/>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row>
    <row r="94" spans="1:52" s="143" customFormat="1" x14ac:dyDescent="0.3">
      <c r="A94"/>
      <c r="B94" s="142" t="s">
        <v>42</v>
      </c>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row>
    <row r="95" spans="1:52" s="143" customFormat="1" x14ac:dyDescent="0.3">
      <c r="A95"/>
      <c r="B95" s="173" t="s">
        <v>145</v>
      </c>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row>
    <row r="97" spans="1:52" s="143" customFormat="1" x14ac:dyDescent="0.3">
      <c r="A97"/>
      <c r="B97" s="174"/>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row>
  </sheetData>
  <mergeCells count="8">
    <mergeCell ref="I79:I80"/>
    <mergeCell ref="C6:H6"/>
    <mergeCell ref="B46:B47"/>
    <mergeCell ref="C46:H46"/>
    <mergeCell ref="B61:B62"/>
    <mergeCell ref="C61:H61"/>
    <mergeCell ref="B79:B80"/>
    <mergeCell ref="C79:H79"/>
  </mergeCells>
  <conditionalFormatting sqref="B1">
    <cfRule type="cellIs" dxfId="192" priority="1" operator="equal">
      <formula>"Review Later"</formula>
    </cfRule>
    <cfRule type="cellIs" dxfId="191" priority="2" operator="equal">
      <formula>"Finished"</formula>
    </cfRule>
    <cfRule type="cellIs" dxfId="190" priority="3" operator="equal">
      <formula>"Incomplete"</formula>
    </cfRule>
  </conditionalFormatting>
  <dataValidations count="1">
    <dataValidation showDropDown="1" showInputMessage="1" showErrorMessage="1" sqref="B1"/>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C210"/>
  <sheetViews>
    <sheetView zoomScaleNormal="100" workbookViewId="0"/>
  </sheetViews>
  <sheetFormatPr defaultColWidth="0" defaultRowHeight="13.8" zeroHeight="1" x14ac:dyDescent="0.25"/>
  <cols>
    <col min="1" max="1" width="11.6640625" style="1" customWidth="1"/>
    <col min="2" max="2" width="15.6640625" style="1" customWidth="1"/>
    <col min="3" max="52" width="12.109375" style="1" customWidth="1"/>
    <col min="53" max="55" width="0" style="1" hidden="1" customWidth="1"/>
    <col min="56" max="16384" width="12.109375" style="1" hidden="1"/>
  </cols>
  <sheetData>
    <row r="1" spans="1:52" ht="14.7" customHeight="1" thickBot="1" x14ac:dyDescent="0.3">
      <c r="A1" s="3">
        <v>1</v>
      </c>
      <c r="B1" s="4"/>
      <c r="C1" s="5"/>
      <c r="D1" s="5"/>
      <c r="E1" s="5"/>
      <c r="F1" s="5"/>
      <c r="G1" s="5"/>
      <c r="H1" s="5"/>
      <c r="I1" s="5"/>
      <c r="J1" s="5"/>
      <c r="K1" s="6"/>
      <c r="L1" s="7"/>
      <c r="M1" s="7"/>
      <c r="N1" s="7"/>
      <c r="O1" s="7"/>
      <c r="P1" s="7"/>
      <c r="Q1" s="7"/>
      <c r="R1" s="7"/>
      <c r="S1" s="7"/>
      <c r="T1" s="7"/>
      <c r="U1" s="7"/>
      <c r="V1" s="7"/>
      <c r="W1" s="7"/>
    </row>
    <row r="2" spans="1:52" ht="14.7" customHeight="1" x14ac:dyDescent="0.25">
      <c r="A2" s="8" t="s">
        <v>4</v>
      </c>
      <c r="B2" s="9"/>
      <c r="C2" s="9"/>
      <c r="D2" s="9"/>
      <c r="E2" s="9"/>
      <c r="F2" s="9"/>
      <c r="G2" s="9"/>
      <c r="H2" s="9"/>
      <c r="I2" s="9"/>
      <c r="J2" s="9"/>
      <c r="K2" s="10"/>
      <c r="L2" s="7"/>
      <c r="M2" s="7"/>
      <c r="N2" s="7"/>
      <c r="O2" s="7"/>
      <c r="P2" s="7"/>
      <c r="Q2" s="7"/>
      <c r="R2" s="7"/>
      <c r="S2" s="7"/>
      <c r="T2" s="7"/>
      <c r="U2" s="7"/>
      <c r="V2" s="7"/>
      <c r="W2" s="7"/>
    </row>
    <row r="3" spans="1:52" ht="14.7" customHeight="1" x14ac:dyDescent="0.25">
      <c r="A3" s="11">
        <v>1.5</v>
      </c>
      <c r="B3" s="9"/>
      <c r="C3" s="9"/>
      <c r="D3" s="9"/>
      <c r="E3" s="9"/>
      <c r="F3" s="9"/>
      <c r="G3" s="9"/>
      <c r="H3" s="9"/>
      <c r="I3" s="9"/>
      <c r="J3" s="9"/>
      <c r="K3" s="10"/>
      <c r="L3" s="7"/>
      <c r="M3" s="7"/>
      <c r="N3" s="7"/>
      <c r="O3" s="7"/>
      <c r="P3" s="7"/>
      <c r="Q3" s="7"/>
      <c r="R3" s="7"/>
      <c r="S3" s="7"/>
      <c r="T3" s="7"/>
      <c r="U3" s="7"/>
      <c r="V3" s="7"/>
      <c r="W3" s="7"/>
    </row>
    <row r="4" spans="1:52" ht="14.7" customHeight="1" x14ac:dyDescent="0.25">
      <c r="A4" s="11"/>
      <c r="B4" s="9" t="s">
        <v>5</v>
      </c>
      <c r="C4" s="9"/>
      <c r="D4" s="9"/>
      <c r="E4" s="9"/>
      <c r="F4" s="9"/>
      <c r="G4" s="9"/>
      <c r="H4" s="9"/>
      <c r="I4" s="9"/>
      <c r="J4" s="9"/>
      <c r="K4" s="10"/>
      <c r="L4" s="7"/>
      <c r="M4" s="7"/>
      <c r="N4" s="7"/>
      <c r="O4" s="7"/>
      <c r="P4" s="7"/>
      <c r="Q4" s="7"/>
      <c r="R4" s="7"/>
      <c r="S4" s="7"/>
      <c r="T4" s="7"/>
      <c r="U4" s="7"/>
      <c r="V4" s="7"/>
      <c r="W4" s="7"/>
    </row>
    <row r="5" spans="1:52" ht="14.7" customHeight="1" x14ac:dyDescent="0.25">
      <c r="A5" s="11"/>
      <c r="B5" s="12"/>
      <c r="C5" s="9"/>
      <c r="D5" s="9"/>
      <c r="E5" s="9"/>
      <c r="F5" s="9"/>
      <c r="G5" s="9"/>
      <c r="H5" s="9"/>
      <c r="I5" s="9"/>
      <c r="J5" s="9"/>
      <c r="K5" s="10"/>
      <c r="L5" s="7"/>
      <c r="M5" s="7"/>
      <c r="N5" s="7"/>
      <c r="O5" s="7"/>
      <c r="P5" s="7"/>
      <c r="Q5" s="7"/>
      <c r="R5" s="7"/>
      <c r="S5" s="7"/>
      <c r="T5" s="7"/>
      <c r="U5" s="7"/>
      <c r="V5" s="7"/>
      <c r="W5" s="7"/>
    </row>
    <row r="6" spans="1:52" ht="14.7" customHeight="1" x14ac:dyDescent="0.25">
      <c r="A6" s="11"/>
      <c r="B6" s="12" t="s">
        <v>6</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x14ac:dyDescent="0.25">
      <c r="A8" s="11"/>
      <c r="B8" s="12" t="s">
        <v>8</v>
      </c>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15" t="s">
        <v>9</v>
      </c>
      <c r="C9" s="9"/>
      <c r="D9" s="9"/>
      <c r="E9" s="9"/>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v>0.25</v>
      </c>
      <c r="B11" s="9" t="s">
        <v>10</v>
      </c>
      <c r="C11" s="9"/>
      <c r="D11" s="9"/>
      <c r="E11" s="9"/>
      <c r="F11" s="9"/>
      <c r="G11" s="13"/>
      <c r="H11" s="13"/>
      <c r="I11" s="13"/>
      <c r="J11" s="13"/>
      <c r="K11" s="10"/>
      <c r="L11" s="7" t="s">
        <v>0</v>
      </c>
      <c r="M11" s="16">
        <f>4-2*0.5</f>
        <v>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19" t="s">
        <v>11</v>
      </c>
      <c r="C12" s="9"/>
      <c r="D12" s="9"/>
      <c r="E12" s="9"/>
      <c r="F12" s="9"/>
      <c r="G12" s="13"/>
      <c r="H12" s="13"/>
      <c r="I12" s="13"/>
      <c r="J12" s="13"/>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19"/>
      <c r="C13" s="9"/>
      <c r="D13" s="9"/>
      <c r="E13" s="9"/>
      <c r="F13" s="9"/>
      <c r="G13" s="13"/>
      <c r="H13" s="13"/>
      <c r="I13" s="13"/>
      <c r="J13" s="13"/>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7" customHeight="1" x14ac:dyDescent="0.25">
      <c r="A14" s="11">
        <v>0.25</v>
      </c>
      <c r="B14" s="9" t="s">
        <v>1</v>
      </c>
      <c r="C14" s="9"/>
      <c r="D14" s="9"/>
      <c r="E14" s="9"/>
      <c r="F14" s="9"/>
      <c r="G14" s="9"/>
      <c r="H14" s="9"/>
      <c r="I14" s="9"/>
      <c r="J14" s="9"/>
      <c r="K14" s="10"/>
      <c r="L14" s="7" t="s">
        <v>1</v>
      </c>
      <c r="M14" s="16">
        <f>4*(0.5)+2*(0.25)</f>
        <v>2.5</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7" customHeight="1" x14ac:dyDescent="0.25">
      <c r="A15" s="11"/>
      <c r="B15" s="9" t="s">
        <v>12</v>
      </c>
      <c r="C15" s="9"/>
      <c r="D15" s="9"/>
      <c r="E15" s="9"/>
      <c r="F15" s="9"/>
      <c r="G15" s="9"/>
      <c r="H15" s="9"/>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7" customHeight="1" x14ac:dyDescent="0.25">
      <c r="A16" s="11"/>
      <c r="B16" s="9"/>
      <c r="C16" s="9"/>
      <c r="D16" s="9"/>
      <c r="E16" s="9"/>
      <c r="F16" s="9"/>
      <c r="G16" s="9"/>
      <c r="H16" s="9"/>
      <c r="I16" s="9"/>
      <c r="J16" s="9"/>
      <c r="K16" s="10"/>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7" customHeight="1" x14ac:dyDescent="0.25">
      <c r="A17" s="11">
        <v>0.25</v>
      </c>
      <c r="B17" s="9" t="s">
        <v>2</v>
      </c>
      <c r="C17" s="9"/>
      <c r="D17" s="22"/>
      <c r="E17" s="23"/>
      <c r="F17" s="23"/>
      <c r="G17" s="24"/>
      <c r="H17" s="9"/>
      <c r="I17" s="9"/>
      <c r="J17" s="9"/>
      <c r="K17" s="10"/>
      <c r="L17" s="17" t="s">
        <v>2</v>
      </c>
      <c r="M17" s="16">
        <v>4</v>
      </c>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x14ac:dyDescent="0.25">
      <c r="A18" s="11"/>
      <c r="B18" s="19" t="s">
        <v>13</v>
      </c>
      <c r="C18" s="9"/>
      <c r="D18" s="25"/>
      <c r="E18" s="25"/>
      <c r="F18" s="25"/>
      <c r="G18" s="25"/>
      <c r="H18" s="25"/>
      <c r="I18" s="25"/>
      <c r="J18" s="25"/>
      <c r="K18" s="26"/>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x14ac:dyDescent="0.25">
      <c r="A19" s="11"/>
      <c r="B19" s="19"/>
      <c r="C19" s="9"/>
      <c r="D19" s="25"/>
      <c r="E19" s="25"/>
      <c r="F19" s="25"/>
      <c r="G19" s="25"/>
      <c r="H19" s="25"/>
      <c r="I19" s="25"/>
      <c r="J19" s="25"/>
      <c r="K19" s="26"/>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x14ac:dyDescent="0.25">
      <c r="A20" s="11">
        <v>0.75</v>
      </c>
      <c r="B20" s="19" t="s">
        <v>14</v>
      </c>
      <c r="C20" s="9"/>
      <c r="D20" s="25"/>
      <c r="E20" s="25"/>
      <c r="F20" s="25"/>
      <c r="G20" s="25"/>
      <c r="H20" s="25"/>
      <c r="I20" s="25"/>
      <c r="J20" s="25"/>
      <c r="K20" s="26"/>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x14ac:dyDescent="0.25">
      <c r="A21" s="11"/>
      <c r="B21" s="19" t="s">
        <v>15</v>
      </c>
      <c r="C21" s="9"/>
      <c r="D21" s="25"/>
      <c r="E21" s="25"/>
      <c r="F21" s="25"/>
      <c r="G21" s="25"/>
      <c r="H21" s="25"/>
      <c r="I21" s="25"/>
      <c r="J21" s="25"/>
      <c r="K21" s="26"/>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thickBot="1" x14ac:dyDescent="0.3">
      <c r="A22" s="28"/>
      <c r="B22" s="29"/>
      <c r="C22" s="30"/>
      <c r="D22" s="31"/>
      <c r="E22" s="31"/>
      <c r="F22" s="31"/>
      <c r="G22" s="31"/>
      <c r="H22" s="31"/>
      <c r="I22" s="31"/>
      <c r="J22" s="31"/>
      <c r="K22" s="32"/>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x14ac:dyDescent="0.25">
      <c r="A24" s="7"/>
      <c r="B24" s="33" t="s">
        <v>3</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x14ac:dyDescent="0.25">
      <c r="A25" s="7"/>
      <c r="B25" s="34" t="s">
        <v>16</v>
      </c>
      <c r="C25" s="7" t="s">
        <v>17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x14ac:dyDescent="0.25">
      <c r="A26" s="7"/>
      <c r="B26" s="34" t="s">
        <v>18</v>
      </c>
      <c r="C26" s="7" t="s">
        <v>19</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x14ac:dyDescent="0.25">
      <c r="A27" s="7"/>
      <c r="B27" s="34" t="s">
        <v>20</v>
      </c>
      <c r="C27" s="7" t="s">
        <v>21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x14ac:dyDescent="0.25">
      <c r="A28" s="7"/>
      <c r="B28" s="7"/>
      <c r="C28" s="7" t="s">
        <v>22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x14ac:dyDescent="0.25">
      <c r="A29" s="7"/>
      <c r="B29" s="7"/>
      <c r="C29" s="7" t="s">
        <v>23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x14ac:dyDescent="0.25"/>
    <row r="202" spans="1:52" hidden="1" x14ac:dyDescent="0.25"/>
    <row r="203" spans="1:52" hidden="1" x14ac:dyDescent="0.25"/>
    <row r="204" spans="1:52" hidden="1" x14ac:dyDescent="0.25"/>
    <row r="205" spans="1:52" hidden="1" x14ac:dyDescent="0.25"/>
    <row r="206" spans="1:52" x14ac:dyDescent="0.25"/>
    <row r="207" spans="1:52" x14ac:dyDescent="0.25"/>
    <row r="208" spans="1:52" x14ac:dyDescent="0.25"/>
    <row r="209" x14ac:dyDescent="0.25"/>
    <row r="210" x14ac:dyDescent="0.25"/>
  </sheetData>
  <conditionalFormatting sqref="B1">
    <cfRule type="cellIs" dxfId="243" priority="1" operator="equal">
      <formula>"Review Later"</formula>
    </cfRule>
    <cfRule type="cellIs" dxfId="242" priority="2" operator="equal">
      <formula>"Finished"</formula>
    </cfRule>
    <cfRule type="cellIs" dxfId="241" priority="3" operator="equal">
      <formula>"Incomplete"</formula>
    </cfRule>
  </conditionalFormatting>
  <pageMargins left="0.7" right="0.7" top="0.75" bottom="0.75" header="0.3" footer="0.3"/>
  <pageSetup orientation="portrait" verticalDpi="599"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Z100"/>
  <sheetViews>
    <sheetView zoomScaleNormal="100" workbookViewId="0"/>
  </sheetViews>
  <sheetFormatPr defaultRowHeight="15" x14ac:dyDescent="0.3"/>
  <cols>
    <col min="1" max="1" width="9.109375" style="143"/>
    <col min="2" max="2" width="19.109375" style="143" customWidth="1"/>
    <col min="3" max="3" width="12.33203125" style="143" customWidth="1"/>
    <col min="4" max="5" width="9.44140625" style="143" customWidth="1"/>
    <col min="6" max="6" width="10.5546875" style="143" customWidth="1"/>
    <col min="7" max="7" width="11.88671875" style="143" customWidth="1"/>
    <col min="8" max="8" width="9.88671875" style="143" customWidth="1"/>
    <col min="9" max="9" width="10" style="143" customWidth="1"/>
    <col min="10" max="13" width="9.109375" style="143"/>
  </cols>
  <sheetData>
    <row r="1" spans="1:13" thickBot="1" x14ac:dyDescent="0.35">
      <c r="A1" s="105">
        <v>6</v>
      </c>
      <c r="B1" s="4"/>
      <c r="C1" s="106"/>
      <c r="D1" s="107"/>
      <c r="E1" s="107"/>
      <c r="F1" s="107"/>
      <c r="G1" s="107"/>
      <c r="H1" s="107"/>
      <c r="I1" s="108"/>
      <c r="J1"/>
      <c r="K1"/>
      <c r="L1"/>
      <c r="M1"/>
    </row>
    <row r="2" spans="1:13" ht="14.4" x14ac:dyDescent="0.3">
      <c r="A2" s="109" t="s">
        <v>4</v>
      </c>
      <c r="B2" s="110"/>
      <c r="C2" s="110"/>
      <c r="D2" s="110"/>
      <c r="E2" s="110"/>
      <c r="F2" s="110"/>
      <c r="G2" s="110"/>
      <c r="H2" s="110"/>
      <c r="I2" s="111"/>
      <c r="J2"/>
      <c r="K2"/>
      <c r="L2"/>
      <c r="M2"/>
    </row>
    <row r="3" spans="1:13" ht="14.4" x14ac:dyDescent="0.3">
      <c r="A3" s="112">
        <v>1.75</v>
      </c>
      <c r="B3" s="113"/>
      <c r="C3" s="110"/>
      <c r="D3" s="110"/>
      <c r="E3" s="110"/>
      <c r="F3" s="110"/>
      <c r="G3" s="110"/>
      <c r="H3" s="110"/>
      <c r="I3" s="111"/>
      <c r="J3"/>
      <c r="K3"/>
      <c r="L3"/>
      <c r="M3"/>
    </row>
    <row r="4" spans="1:13" ht="14.4" x14ac:dyDescent="0.3">
      <c r="A4" s="112"/>
      <c r="B4" s="110" t="s">
        <v>116</v>
      </c>
      <c r="C4" s="110"/>
      <c r="D4" s="110"/>
      <c r="E4" s="110"/>
      <c r="F4" s="110"/>
      <c r="G4" s="110"/>
      <c r="H4" s="110"/>
      <c r="I4" s="111"/>
      <c r="J4"/>
      <c r="K4"/>
      <c r="L4"/>
      <c r="M4"/>
    </row>
    <row r="5" spans="1:13" thickBot="1" x14ac:dyDescent="0.35">
      <c r="A5" s="112"/>
      <c r="B5" s="110"/>
      <c r="C5" s="110"/>
      <c r="D5" s="110"/>
      <c r="E5" s="110"/>
      <c r="F5" s="110"/>
      <c r="G5" s="110"/>
      <c r="H5" s="110"/>
      <c r="I5" s="111"/>
      <c r="J5"/>
      <c r="K5"/>
      <c r="L5"/>
      <c r="M5"/>
    </row>
    <row r="6" spans="1:13" ht="14.4" x14ac:dyDescent="0.3">
      <c r="A6" s="112"/>
      <c r="B6" s="114" t="s">
        <v>117</v>
      </c>
      <c r="C6" s="1078" t="s">
        <v>118</v>
      </c>
      <c r="D6" s="1078"/>
      <c r="E6" s="1078"/>
      <c r="F6" s="1078"/>
      <c r="G6" s="1078"/>
      <c r="H6" s="1079"/>
      <c r="I6" s="111"/>
      <c r="J6"/>
      <c r="K6"/>
      <c r="L6"/>
      <c r="M6"/>
    </row>
    <row r="7" spans="1:13" thickBot="1" x14ac:dyDescent="0.35">
      <c r="A7" s="112"/>
      <c r="B7" s="115" t="s">
        <v>94</v>
      </c>
      <c r="C7" s="116">
        <v>12</v>
      </c>
      <c r="D7" s="116">
        <v>24</v>
      </c>
      <c r="E7" s="116">
        <v>36</v>
      </c>
      <c r="F7" s="116">
        <v>48</v>
      </c>
      <c r="G7" s="116">
        <v>60</v>
      </c>
      <c r="H7" s="117">
        <v>72</v>
      </c>
      <c r="I7" s="111"/>
      <c r="J7"/>
      <c r="K7"/>
      <c r="L7"/>
      <c r="M7"/>
    </row>
    <row r="8" spans="1:13" ht="14.4" x14ac:dyDescent="0.3">
      <c r="A8" s="112"/>
      <c r="B8" s="114">
        <v>2010</v>
      </c>
      <c r="C8" s="118">
        <v>26</v>
      </c>
      <c r="D8" s="118">
        <v>52</v>
      </c>
      <c r="E8" s="118">
        <v>71</v>
      </c>
      <c r="F8" s="118">
        <v>80</v>
      </c>
      <c r="G8" s="118">
        <v>85</v>
      </c>
      <c r="H8" s="119">
        <v>89</v>
      </c>
      <c r="I8" s="111"/>
      <c r="J8"/>
      <c r="K8"/>
      <c r="L8"/>
      <c r="M8"/>
    </row>
    <row r="9" spans="1:13" ht="14.4" x14ac:dyDescent="0.3">
      <c r="A9" s="112"/>
      <c r="B9" s="120">
        <v>2011</v>
      </c>
      <c r="C9" s="121">
        <v>37</v>
      </c>
      <c r="D9" s="121">
        <v>54</v>
      </c>
      <c r="E9" s="121">
        <v>70</v>
      </c>
      <c r="F9" s="121">
        <v>82</v>
      </c>
      <c r="G9" s="121">
        <v>84</v>
      </c>
      <c r="H9" s="122">
        <v>85</v>
      </c>
      <c r="I9" s="111"/>
      <c r="J9"/>
      <c r="K9"/>
      <c r="L9"/>
      <c r="M9"/>
    </row>
    <row r="10" spans="1:13" ht="14.4" x14ac:dyDescent="0.3">
      <c r="A10" s="112"/>
      <c r="B10" s="120">
        <v>2012</v>
      </c>
      <c r="C10" s="121">
        <v>44</v>
      </c>
      <c r="D10" s="121">
        <v>81</v>
      </c>
      <c r="E10" s="121">
        <v>85</v>
      </c>
      <c r="F10" s="121">
        <v>100</v>
      </c>
      <c r="G10" s="121">
        <v>110</v>
      </c>
      <c r="H10" s="122">
        <v>112</v>
      </c>
      <c r="I10" s="111"/>
      <c r="J10"/>
      <c r="K10"/>
      <c r="L10"/>
      <c r="M10"/>
    </row>
    <row r="11" spans="1:13" ht="14.4" x14ac:dyDescent="0.3">
      <c r="A11" s="112"/>
      <c r="B11" s="120">
        <v>2013</v>
      </c>
      <c r="C11" s="121">
        <v>19</v>
      </c>
      <c r="D11" s="121">
        <v>44</v>
      </c>
      <c r="E11" s="121">
        <v>59</v>
      </c>
      <c r="F11" s="121">
        <v>67</v>
      </c>
      <c r="G11" s="121">
        <v>70</v>
      </c>
      <c r="H11" s="122"/>
      <c r="I11" s="111"/>
      <c r="J11"/>
      <c r="K11"/>
      <c r="L11"/>
      <c r="M11"/>
    </row>
    <row r="12" spans="1:13" ht="14.4" x14ac:dyDescent="0.3">
      <c r="A12" s="112"/>
      <c r="B12" s="120">
        <v>2014</v>
      </c>
      <c r="C12" s="121">
        <v>15</v>
      </c>
      <c r="D12" s="121">
        <v>44</v>
      </c>
      <c r="E12" s="121">
        <v>72</v>
      </c>
      <c r="F12" s="121">
        <v>83</v>
      </c>
      <c r="G12" s="121"/>
      <c r="H12" s="122"/>
      <c r="I12" s="111"/>
      <c r="J12"/>
      <c r="K12"/>
      <c r="L12"/>
      <c r="M12"/>
    </row>
    <row r="13" spans="1:13" ht="14.4" x14ac:dyDescent="0.3">
      <c r="A13" s="112"/>
      <c r="B13" s="120">
        <v>2015</v>
      </c>
      <c r="C13" s="121">
        <v>38</v>
      </c>
      <c r="D13" s="121">
        <v>59</v>
      </c>
      <c r="E13" s="121">
        <v>77</v>
      </c>
      <c r="F13" s="121"/>
      <c r="G13" s="121"/>
      <c r="H13" s="122"/>
      <c r="I13" s="111"/>
      <c r="J13"/>
      <c r="K13"/>
      <c r="L13"/>
      <c r="M13"/>
    </row>
    <row r="14" spans="1:13" ht="14.4" x14ac:dyDescent="0.3">
      <c r="A14" s="112"/>
      <c r="B14" s="120">
        <v>2016</v>
      </c>
      <c r="C14" s="121">
        <v>33</v>
      </c>
      <c r="D14" s="121">
        <v>65</v>
      </c>
      <c r="E14" s="121"/>
      <c r="F14" s="121"/>
      <c r="G14" s="121"/>
      <c r="H14" s="122"/>
      <c r="I14" s="111"/>
      <c r="J14"/>
      <c r="K14"/>
      <c r="L14"/>
      <c r="M14"/>
    </row>
    <row r="15" spans="1:13" thickBot="1" x14ac:dyDescent="0.35">
      <c r="A15" s="112"/>
      <c r="B15" s="115">
        <v>2017</v>
      </c>
      <c r="C15" s="123">
        <v>30</v>
      </c>
      <c r="D15" s="123"/>
      <c r="E15" s="123"/>
      <c r="F15" s="123"/>
      <c r="G15" s="123"/>
      <c r="H15" s="124"/>
      <c r="I15" s="111"/>
      <c r="J15"/>
      <c r="K15"/>
      <c r="L15"/>
      <c r="M15"/>
    </row>
    <row r="16" spans="1:13" thickBot="1" x14ac:dyDescent="0.35">
      <c r="A16" s="112"/>
      <c r="B16" s="125"/>
      <c r="C16" s="125"/>
      <c r="D16" s="125"/>
      <c r="E16" s="125"/>
      <c r="F16" s="125"/>
      <c r="G16" s="125"/>
      <c r="H16" s="125"/>
      <c r="I16" s="111"/>
      <c r="J16"/>
      <c r="K16"/>
      <c r="L16"/>
      <c r="M16"/>
    </row>
    <row r="17" spans="1:13" ht="14.4" x14ac:dyDescent="0.3">
      <c r="A17" s="112"/>
      <c r="B17" s="126" t="s">
        <v>119</v>
      </c>
      <c r="C17" s="126" t="s">
        <v>120</v>
      </c>
      <c r="D17" s="127"/>
      <c r="E17" s="125"/>
      <c r="F17" s="125"/>
      <c r="G17" s="125"/>
      <c r="H17" s="125"/>
      <c r="I17" s="111"/>
      <c r="J17"/>
      <c r="K17"/>
      <c r="L17"/>
      <c r="M17"/>
    </row>
    <row r="18" spans="1:13" ht="14.4" x14ac:dyDescent="0.3">
      <c r="A18" s="112"/>
      <c r="B18" s="128" t="s">
        <v>121</v>
      </c>
      <c r="C18" s="129">
        <v>0.3</v>
      </c>
      <c r="D18" s="130"/>
      <c r="E18" s="125"/>
      <c r="F18" s="125"/>
      <c r="G18" s="125"/>
      <c r="H18" s="125"/>
      <c r="I18" s="111"/>
      <c r="J18"/>
      <c r="K18"/>
      <c r="L18"/>
      <c r="M18"/>
    </row>
    <row r="19" spans="1:13" ht="14.4" x14ac:dyDescent="0.3">
      <c r="A19" s="112"/>
      <c r="B19" s="128" t="s">
        <v>122</v>
      </c>
      <c r="C19" s="129">
        <v>0.6</v>
      </c>
      <c r="D19" s="130"/>
      <c r="E19" s="125"/>
      <c r="F19" s="125"/>
      <c r="G19" s="125"/>
      <c r="H19" s="125"/>
      <c r="I19" s="111"/>
      <c r="J19"/>
      <c r="K19"/>
      <c r="L19"/>
      <c r="M19"/>
    </row>
    <row r="20" spans="1:13" ht="14.4" x14ac:dyDescent="0.3">
      <c r="A20" s="112"/>
      <c r="B20" s="128" t="s">
        <v>123</v>
      </c>
      <c r="C20" s="129">
        <v>0.8</v>
      </c>
      <c r="D20" s="130"/>
      <c r="E20" s="125"/>
      <c r="F20" s="125"/>
      <c r="G20" s="125"/>
      <c r="H20" s="125"/>
      <c r="I20" s="111"/>
      <c r="J20"/>
      <c r="K20"/>
      <c r="L20"/>
      <c r="M20"/>
    </row>
    <row r="21" spans="1:13" ht="14.4" x14ac:dyDescent="0.3">
      <c r="A21" s="112"/>
      <c r="B21" s="128" t="s">
        <v>124</v>
      </c>
      <c r="C21" s="129">
        <v>0.9</v>
      </c>
      <c r="D21" s="130"/>
      <c r="E21" s="125"/>
      <c r="F21" s="125"/>
      <c r="G21" s="125"/>
      <c r="H21" s="125"/>
      <c r="I21" s="111"/>
      <c r="J21"/>
      <c r="K21"/>
      <c r="L21"/>
      <c r="M21"/>
    </row>
    <row r="22" spans="1:13" ht="14.4" x14ac:dyDescent="0.3">
      <c r="A22" s="112"/>
      <c r="B22" s="128" t="s">
        <v>125</v>
      </c>
      <c r="C22" s="129">
        <v>0.95</v>
      </c>
      <c r="D22" s="130"/>
      <c r="E22" s="125"/>
      <c r="F22" s="125"/>
      <c r="G22" s="125"/>
      <c r="H22" s="125"/>
      <c r="I22" s="111"/>
      <c r="J22"/>
      <c r="K22"/>
      <c r="L22"/>
      <c r="M22"/>
    </row>
    <row r="23" spans="1:13" thickBot="1" x14ac:dyDescent="0.35">
      <c r="A23" s="112"/>
      <c r="B23" s="131" t="s">
        <v>126</v>
      </c>
      <c r="C23" s="132">
        <v>1</v>
      </c>
      <c r="D23" s="130"/>
      <c r="E23" s="125"/>
      <c r="F23" s="125"/>
      <c r="G23" s="125"/>
      <c r="H23" s="125"/>
      <c r="I23" s="111"/>
      <c r="J23"/>
      <c r="K23"/>
      <c r="L23"/>
      <c r="M23"/>
    </row>
    <row r="24" spans="1:13" ht="14.4" x14ac:dyDescent="0.3">
      <c r="A24" s="112"/>
      <c r="B24" s="133"/>
      <c r="C24" s="133"/>
      <c r="D24" s="134"/>
      <c r="E24" s="135"/>
      <c r="F24" s="125"/>
      <c r="G24" s="125"/>
      <c r="H24" s="125"/>
      <c r="I24" s="111"/>
      <c r="J24"/>
      <c r="K24"/>
      <c r="L24"/>
      <c r="M24"/>
    </row>
    <row r="25" spans="1:13" ht="14.4" x14ac:dyDescent="0.3">
      <c r="A25" s="127"/>
      <c r="B25" s="127" t="s">
        <v>127</v>
      </c>
      <c r="C25" s="125"/>
      <c r="D25" s="125"/>
      <c r="E25" s="125"/>
      <c r="F25" s="125"/>
      <c r="G25" s="125"/>
      <c r="H25" s="125"/>
      <c r="I25" s="111"/>
      <c r="J25"/>
      <c r="K25"/>
      <c r="L25"/>
      <c r="M25"/>
    </row>
    <row r="26" spans="1:13" ht="14.4" x14ac:dyDescent="0.3">
      <c r="A26" s="127"/>
      <c r="B26" s="127" t="s">
        <v>128</v>
      </c>
      <c r="C26" s="125"/>
      <c r="D26" s="125"/>
      <c r="E26" s="125"/>
      <c r="F26" s="125"/>
      <c r="G26" s="125"/>
      <c r="H26" s="125"/>
      <c r="I26" s="111"/>
      <c r="J26"/>
      <c r="K26"/>
      <c r="L26"/>
      <c r="M26"/>
    </row>
    <row r="27" spans="1:13" ht="14.4" x14ac:dyDescent="0.3">
      <c r="A27" s="127"/>
      <c r="B27" s="127" t="s">
        <v>129</v>
      </c>
      <c r="C27" s="125"/>
      <c r="D27" s="125"/>
      <c r="E27" s="125"/>
      <c r="F27" s="125"/>
      <c r="G27" s="125"/>
      <c r="H27" s="125"/>
      <c r="I27" s="111"/>
      <c r="J27"/>
      <c r="K27"/>
      <c r="L27"/>
      <c r="M27"/>
    </row>
    <row r="28" spans="1:13" ht="14.4" x14ac:dyDescent="0.3">
      <c r="A28" s="127"/>
      <c r="B28" s="127" t="s">
        <v>130</v>
      </c>
      <c r="C28" s="127"/>
      <c r="D28" s="125"/>
      <c r="E28" s="125"/>
      <c r="F28" s="125"/>
      <c r="G28" s="125"/>
      <c r="H28" s="125"/>
      <c r="I28" s="111"/>
      <c r="J28"/>
      <c r="K28"/>
      <c r="L28"/>
      <c r="M28"/>
    </row>
    <row r="29" spans="1:13" ht="14.4" x14ac:dyDescent="0.3">
      <c r="A29" s="127"/>
      <c r="B29" s="127" t="s">
        <v>131</v>
      </c>
      <c r="C29" s="127"/>
      <c r="D29" s="125"/>
      <c r="E29" s="125"/>
      <c r="F29" s="125"/>
      <c r="G29" s="125"/>
      <c r="H29" s="125"/>
      <c r="I29" s="111"/>
      <c r="J29"/>
      <c r="K29"/>
      <c r="L29"/>
      <c r="M29"/>
    </row>
    <row r="30" spans="1:13" ht="14.4" x14ac:dyDescent="0.3">
      <c r="A30" s="112"/>
      <c r="B30" s="110"/>
      <c r="C30" s="110"/>
      <c r="D30" s="110"/>
      <c r="E30" s="110"/>
      <c r="F30" s="110"/>
      <c r="G30" s="110"/>
      <c r="H30" s="110"/>
      <c r="I30" s="111"/>
      <c r="J30"/>
      <c r="K30"/>
      <c r="L30"/>
      <c r="M30"/>
    </row>
    <row r="31" spans="1:13" ht="14.4" x14ac:dyDescent="0.3">
      <c r="A31" s="112">
        <v>0.25</v>
      </c>
      <c r="B31" s="136" t="s">
        <v>0</v>
      </c>
      <c r="C31" s="110"/>
      <c r="D31" s="110"/>
      <c r="E31" s="110"/>
      <c r="F31" s="110"/>
      <c r="G31" s="110"/>
      <c r="H31" s="110"/>
      <c r="I31" s="111"/>
      <c r="J31"/>
      <c r="K31"/>
      <c r="L31"/>
      <c r="M31"/>
    </row>
    <row r="32" spans="1:13" ht="14.4" x14ac:dyDescent="0.3">
      <c r="A32" s="112"/>
      <c r="B32" s="137" t="s">
        <v>132</v>
      </c>
      <c r="C32" s="110"/>
      <c r="D32" s="110"/>
      <c r="E32" s="110"/>
      <c r="F32" s="110"/>
      <c r="G32" s="110"/>
      <c r="H32" s="110"/>
      <c r="I32" s="111"/>
      <c r="J32"/>
      <c r="K32"/>
      <c r="L32"/>
      <c r="M32"/>
    </row>
    <row r="33" spans="1:13" ht="14.4" x14ac:dyDescent="0.3">
      <c r="A33" s="112"/>
      <c r="B33" s="137"/>
      <c r="C33" s="110"/>
      <c r="D33" s="110"/>
      <c r="E33" s="110"/>
      <c r="F33" s="110"/>
      <c r="G33" s="110"/>
      <c r="H33" s="110"/>
      <c r="I33" s="111"/>
      <c r="J33"/>
      <c r="K33"/>
      <c r="L33"/>
      <c r="M33"/>
    </row>
    <row r="34" spans="1:13" ht="14.4" x14ac:dyDescent="0.3">
      <c r="A34" s="112">
        <v>0.25</v>
      </c>
      <c r="B34" s="137" t="s">
        <v>1</v>
      </c>
      <c r="C34" s="110"/>
      <c r="D34" s="110"/>
      <c r="E34" s="110"/>
      <c r="F34" s="110"/>
      <c r="G34" s="110"/>
      <c r="H34" s="110"/>
      <c r="I34" s="111"/>
      <c r="J34"/>
      <c r="K34"/>
      <c r="L34"/>
      <c r="M34"/>
    </row>
    <row r="35" spans="1:13" ht="14.4" x14ac:dyDescent="0.3">
      <c r="A35" s="112"/>
      <c r="B35" s="110" t="s">
        <v>133</v>
      </c>
      <c r="C35" s="110"/>
      <c r="D35" s="110"/>
      <c r="E35" s="110"/>
      <c r="F35" s="110"/>
      <c r="G35" s="110"/>
      <c r="H35" s="110"/>
      <c r="I35" s="111"/>
      <c r="J35"/>
      <c r="K35"/>
      <c r="L35"/>
      <c r="M35"/>
    </row>
    <row r="36" spans="1:13" ht="14.4" x14ac:dyDescent="0.3">
      <c r="A36" s="112"/>
      <c r="B36" s="110"/>
      <c r="C36" s="110"/>
      <c r="D36" s="110"/>
      <c r="E36" s="110"/>
      <c r="F36" s="110"/>
      <c r="G36" s="110"/>
      <c r="H36" s="110"/>
      <c r="I36" s="111"/>
      <c r="J36"/>
      <c r="K36"/>
      <c r="L36"/>
      <c r="M36"/>
    </row>
    <row r="37" spans="1:13" ht="14.4" x14ac:dyDescent="0.3">
      <c r="A37" s="112">
        <v>1</v>
      </c>
      <c r="B37" s="110" t="s">
        <v>2</v>
      </c>
      <c r="C37" s="110"/>
      <c r="D37" s="110"/>
      <c r="E37" s="110"/>
      <c r="F37" s="110"/>
      <c r="G37" s="110"/>
      <c r="H37" s="110"/>
      <c r="I37" s="111"/>
      <c r="J37"/>
      <c r="K37"/>
      <c r="L37"/>
      <c r="M37"/>
    </row>
    <row r="38" spans="1:13" ht="14.4" x14ac:dyDescent="0.3">
      <c r="A38" s="112"/>
      <c r="B38" s="110" t="s">
        <v>134</v>
      </c>
      <c r="C38" s="110"/>
      <c r="D38" s="110"/>
      <c r="E38" s="110"/>
      <c r="F38" s="110"/>
      <c r="G38" s="110"/>
      <c r="H38" s="110"/>
      <c r="I38" s="111"/>
      <c r="J38"/>
      <c r="K38"/>
      <c r="L38"/>
      <c r="M38"/>
    </row>
    <row r="39" spans="1:13" ht="14.4" x14ac:dyDescent="0.3">
      <c r="A39" s="112"/>
      <c r="B39" s="110" t="s">
        <v>135</v>
      </c>
      <c r="C39" s="110"/>
      <c r="D39" s="110"/>
      <c r="E39" s="110"/>
      <c r="F39" s="110"/>
      <c r="G39" s="110"/>
      <c r="H39" s="110"/>
      <c r="I39" s="111"/>
      <c r="J39"/>
      <c r="K39"/>
      <c r="L39"/>
      <c r="M39"/>
    </row>
    <row r="40" spans="1:13" ht="14.4" x14ac:dyDescent="0.3">
      <c r="A40" s="112"/>
      <c r="B40" s="110"/>
      <c r="C40" s="110"/>
      <c r="D40" s="110"/>
      <c r="E40" s="110"/>
      <c r="F40" s="110"/>
      <c r="G40" s="110"/>
      <c r="H40" s="110"/>
      <c r="I40" s="111"/>
      <c r="J40"/>
      <c r="K40"/>
      <c r="L40"/>
      <c r="M40"/>
    </row>
    <row r="41" spans="1:13" ht="14.4" x14ac:dyDescent="0.3">
      <c r="A41" s="112">
        <v>0.25</v>
      </c>
      <c r="B41" s="110" t="s">
        <v>3</v>
      </c>
      <c r="C41" s="110"/>
      <c r="D41" s="110"/>
      <c r="E41" s="110"/>
      <c r="F41" s="110"/>
      <c r="G41" s="110"/>
      <c r="H41" s="110"/>
      <c r="I41" s="111"/>
      <c r="J41"/>
      <c r="K41"/>
      <c r="L41"/>
      <c r="M41"/>
    </row>
    <row r="42" spans="1:13" ht="14.4" x14ac:dyDescent="0.3">
      <c r="A42" s="112"/>
      <c r="B42" s="110" t="s">
        <v>136</v>
      </c>
      <c r="C42" s="110"/>
      <c r="D42" s="110"/>
      <c r="E42" s="110"/>
      <c r="F42" s="110"/>
      <c r="G42" s="110"/>
      <c r="H42" s="110"/>
      <c r="I42" s="111"/>
      <c r="J42"/>
      <c r="K42"/>
      <c r="L42"/>
      <c r="M42"/>
    </row>
    <row r="43" spans="1:13" thickBot="1" x14ac:dyDescent="0.35">
      <c r="A43" s="138"/>
      <c r="B43" s="139"/>
      <c r="C43" s="140"/>
      <c r="D43" s="140"/>
      <c r="E43" s="140"/>
      <c r="F43" s="140"/>
      <c r="G43" s="140"/>
      <c r="H43" s="140"/>
      <c r="I43" s="141"/>
      <c r="J43"/>
      <c r="K43"/>
      <c r="L43"/>
      <c r="M43"/>
    </row>
    <row r="44" spans="1:13" ht="14.4" x14ac:dyDescent="0.3">
      <c r="A44"/>
      <c r="B44"/>
      <c r="C44"/>
      <c r="D44"/>
      <c r="E44"/>
      <c r="F44"/>
      <c r="G44"/>
      <c r="H44"/>
      <c r="I44"/>
      <c r="J44"/>
      <c r="K44"/>
      <c r="L44"/>
      <c r="M44"/>
    </row>
    <row r="45" spans="1:13" ht="15.6" thickBot="1" x14ac:dyDescent="0.35">
      <c r="B45" s="142" t="s">
        <v>39</v>
      </c>
    </row>
    <row r="46" spans="1:13" x14ac:dyDescent="0.3">
      <c r="B46" s="1080" t="s">
        <v>90</v>
      </c>
      <c r="C46" s="1082" t="s">
        <v>146</v>
      </c>
      <c r="D46" s="1082"/>
      <c r="E46" s="1082"/>
      <c r="F46" s="1082"/>
      <c r="G46" s="1082"/>
      <c r="H46" s="1083"/>
    </row>
    <row r="47" spans="1:13" ht="15.6" thickBot="1" x14ac:dyDescent="0.35">
      <c r="B47" s="1081"/>
      <c r="C47" s="144">
        <v>12</v>
      </c>
      <c r="D47" s="144">
        <v>24</v>
      </c>
      <c r="E47" s="144">
        <v>36</v>
      </c>
      <c r="F47" s="144">
        <v>48</v>
      </c>
      <c r="G47" s="144">
        <v>60</v>
      </c>
      <c r="H47" s="145">
        <v>72</v>
      </c>
    </row>
    <row r="48" spans="1:13" x14ac:dyDescent="0.3">
      <c r="B48" s="146">
        <v>2010</v>
      </c>
      <c r="C48" s="148">
        <f>C8</f>
        <v>26</v>
      </c>
      <c r="D48" s="148">
        <f>D8-C8</f>
        <v>26</v>
      </c>
      <c r="E48" s="148">
        <f t="shared" ref="E48:H48" si="0">E8-D8</f>
        <v>19</v>
      </c>
      <c r="F48" s="148">
        <f t="shared" si="0"/>
        <v>9</v>
      </c>
      <c r="G48" s="148">
        <f t="shared" si="0"/>
        <v>5</v>
      </c>
      <c r="H48" s="149">
        <f t="shared" si="0"/>
        <v>4</v>
      </c>
    </row>
    <row r="49" spans="2:52" x14ac:dyDescent="0.3">
      <c r="B49" s="146">
        <v>2011</v>
      </c>
      <c r="C49" s="148">
        <f t="shared" ref="C49:C55" si="1">C9</f>
        <v>37</v>
      </c>
      <c r="D49" s="148">
        <f t="shared" ref="D49:H51" si="2">D9-C9</f>
        <v>17</v>
      </c>
      <c r="E49" s="148">
        <f t="shared" si="2"/>
        <v>16</v>
      </c>
      <c r="F49" s="148">
        <f t="shared" si="2"/>
        <v>12</v>
      </c>
      <c r="G49" s="147">
        <f t="shared" si="2"/>
        <v>2</v>
      </c>
      <c r="H49" s="149">
        <f t="shared" si="2"/>
        <v>1</v>
      </c>
    </row>
    <row r="50" spans="2:52" x14ac:dyDescent="0.3">
      <c r="B50" s="146">
        <v>2012</v>
      </c>
      <c r="C50" s="148">
        <f t="shared" si="1"/>
        <v>44</v>
      </c>
      <c r="D50" s="148">
        <f t="shared" si="2"/>
        <v>37</v>
      </c>
      <c r="E50" s="148">
        <f t="shared" si="2"/>
        <v>4</v>
      </c>
      <c r="F50" s="147">
        <f t="shared" si="2"/>
        <v>15</v>
      </c>
      <c r="G50" s="147">
        <f t="shared" si="2"/>
        <v>10</v>
      </c>
      <c r="H50" s="149">
        <f t="shared" si="2"/>
        <v>2</v>
      </c>
    </row>
    <row r="51" spans="2:52" x14ac:dyDescent="0.3">
      <c r="B51" s="146">
        <v>2013</v>
      </c>
      <c r="C51" s="148">
        <f t="shared" si="1"/>
        <v>19</v>
      </c>
      <c r="D51" s="148">
        <f>D11-C11</f>
        <v>25</v>
      </c>
      <c r="E51" s="147">
        <f t="shared" si="2"/>
        <v>15</v>
      </c>
      <c r="F51" s="147">
        <f t="shared" si="2"/>
        <v>8</v>
      </c>
      <c r="G51" s="147">
        <f t="shared" si="2"/>
        <v>3</v>
      </c>
      <c r="H51" s="150"/>
    </row>
    <row r="52" spans="2:52" x14ac:dyDescent="0.3">
      <c r="B52" s="146">
        <v>2014</v>
      </c>
      <c r="C52" s="148">
        <f t="shared" si="1"/>
        <v>15</v>
      </c>
      <c r="D52" s="147">
        <f t="shared" ref="D52:F54" si="3">D12-C12</f>
        <v>29</v>
      </c>
      <c r="E52" s="147">
        <f t="shared" si="3"/>
        <v>28</v>
      </c>
      <c r="F52" s="147">
        <f t="shared" si="3"/>
        <v>11</v>
      </c>
      <c r="G52" s="151"/>
      <c r="H52" s="150"/>
    </row>
    <row r="53" spans="2:52" x14ac:dyDescent="0.3">
      <c r="B53" s="146">
        <v>2015</v>
      </c>
      <c r="C53" s="147">
        <f t="shared" si="1"/>
        <v>38</v>
      </c>
      <c r="D53" s="147">
        <f t="shared" si="3"/>
        <v>21</v>
      </c>
      <c r="E53" s="147">
        <f t="shared" si="3"/>
        <v>18</v>
      </c>
      <c r="F53" s="151"/>
      <c r="G53" s="151"/>
      <c r="H53" s="150"/>
    </row>
    <row r="54" spans="2:52" x14ac:dyDescent="0.3">
      <c r="B54" s="146">
        <v>2016</v>
      </c>
      <c r="C54" s="147">
        <f t="shared" si="1"/>
        <v>33</v>
      </c>
      <c r="D54" s="147">
        <f t="shared" si="3"/>
        <v>32</v>
      </c>
      <c r="E54" s="151"/>
      <c r="F54" s="151"/>
      <c r="G54" s="151"/>
      <c r="H54" s="150"/>
    </row>
    <row r="55" spans="2:52" ht="15.6" thickBot="1" x14ac:dyDescent="0.35">
      <c r="B55" s="152">
        <v>2017</v>
      </c>
      <c r="C55" s="144">
        <f t="shared" si="1"/>
        <v>30</v>
      </c>
      <c r="D55" s="153"/>
      <c r="E55" s="153"/>
      <c r="F55" s="153"/>
      <c r="G55" s="153"/>
      <c r="H55" s="154"/>
    </row>
    <row r="56" spans="2:52" x14ac:dyDescent="0.3">
      <c r="B56" s="155"/>
    </row>
    <row r="57" spans="2:52" x14ac:dyDescent="0.3">
      <c r="B57" s="156" t="s">
        <v>137</v>
      </c>
    </row>
    <row r="58" spans="2:52" x14ac:dyDescent="0.3">
      <c r="B58" s="157">
        <f>SUM(C48:G48,C49:F49,C50:E50,C51:D51,C52)</f>
        <v>311</v>
      </c>
    </row>
    <row r="60" spans="2:52" s="143" customFormat="1" x14ac:dyDescent="0.3">
      <c r="B60" s="142" t="s">
        <v>40</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row>
    <row r="62" spans="2:52" s="143" customFormat="1" x14ac:dyDescent="0.3">
      <c r="B62" s="156" t="s">
        <v>138</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row>
    <row r="63" spans="2:52" s="143" customFormat="1" x14ac:dyDescent="0.3">
      <c r="B63" s="157">
        <f>SUM(C53:E53,C54:D54,C55)</f>
        <v>172</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row>
    <row r="65" spans="2:52" s="143" customFormat="1" x14ac:dyDescent="0.3">
      <c r="B65" s="142" t="s">
        <v>41</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row>
    <row r="66" spans="2:52" s="143" customFormat="1" x14ac:dyDescent="0.3">
      <c r="B66" s="156" t="s">
        <v>139</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row>
    <row r="67" spans="2:52" s="143" customFormat="1" x14ac:dyDescent="0.3">
      <c r="B67" s="156" t="s">
        <v>147</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row>
    <row r="69" spans="2:52" s="143" customFormat="1" ht="15.6" thickBot="1" x14ac:dyDescent="0.35">
      <c r="B69" s="156" t="s">
        <v>148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row>
    <row r="70" spans="2:52" s="143" customFormat="1" ht="15.6" thickBot="1" x14ac:dyDescent="0.35">
      <c r="B70" s="175" t="s">
        <v>90</v>
      </c>
      <c r="C70" s="176" t="s">
        <v>149</v>
      </c>
      <c r="D70" s="177" t="s">
        <v>150</v>
      </c>
      <c r="E70" s="177" t="s">
        <v>151</v>
      </c>
      <c r="F70" s="177" t="s">
        <v>152</v>
      </c>
      <c r="G70" s="178" t="s">
        <v>153</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row>
    <row r="71" spans="2:52" s="143" customFormat="1" x14ac:dyDescent="0.3">
      <c r="B71" s="179">
        <v>2010</v>
      </c>
      <c r="C71" s="180">
        <f>D8/C8</f>
        <v>2</v>
      </c>
      <c r="D71" s="180">
        <f t="shared" ref="D71:G71" si="4">E8/D8</f>
        <v>1.3653846153846154</v>
      </c>
      <c r="E71" s="180">
        <f t="shared" si="4"/>
        <v>1.1267605633802817</v>
      </c>
      <c r="F71" s="180">
        <f t="shared" si="4"/>
        <v>1.0625</v>
      </c>
      <c r="G71" s="181">
        <f t="shared" si="4"/>
        <v>1.0470588235294118</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row>
    <row r="72" spans="2:52" s="143" customFormat="1" x14ac:dyDescent="0.3">
      <c r="B72" s="179">
        <v>2011</v>
      </c>
      <c r="C72" s="180">
        <f t="shared" ref="C72:G77" si="5">D9/C9</f>
        <v>1.4594594594594594</v>
      </c>
      <c r="D72" s="180">
        <f t="shared" si="5"/>
        <v>1.2962962962962963</v>
      </c>
      <c r="E72" s="180">
        <f t="shared" si="5"/>
        <v>1.1714285714285715</v>
      </c>
      <c r="F72" s="180">
        <f t="shared" si="5"/>
        <v>1.024390243902439</v>
      </c>
      <c r="G72" s="181">
        <f t="shared" si="5"/>
        <v>1.0119047619047619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row>
    <row r="73" spans="2:52" s="143" customFormat="1" x14ac:dyDescent="0.3">
      <c r="B73" s="179">
        <v>2012</v>
      </c>
      <c r="C73" s="180">
        <f t="shared" si="5"/>
        <v>1.8409090909090908</v>
      </c>
      <c r="D73" s="180">
        <f t="shared" si="5"/>
        <v>1.0493827160493827</v>
      </c>
      <c r="E73" s="180">
        <f t="shared" si="5"/>
        <v>1.1764705882352942</v>
      </c>
      <c r="F73" s="180">
        <f t="shared" si="5"/>
        <v>1.1000000000000001</v>
      </c>
      <c r="G73" s="181">
        <f t="shared" si="5"/>
        <v>1.0181818181818181</v>
      </c>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row>
    <row r="74" spans="2:52" s="143" customFormat="1" x14ac:dyDescent="0.3">
      <c r="B74" s="179">
        <v>2013</v>
      </c>
      <c r="C74" s="180">
        <f t="shared" si="5"/>
        <v>2.3157894736842106</v>
      </c>
      <c r="D74" s="180">
        <f t="shared" si="5"/>
        <v>1.3409090909090908</v>
      </c>
      <c r="E74" s="180">
        <f t="shared" si="5"/>
        <v>1.1355932203389831</v>
      </c>
      <c r="F74" s="180">
        <f t="shared" si="5"/>
        <v>1.044776119402985</v>
      </c>
      <c r="G74" s="181"/>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row>
    <row r="75" spans="2:52" s="143" customFormat="1" x14ac:dyDescent="0.3">
      <c r="B75" s="179">
        <v>2014</v>
      </c>
      <c r="C75" s="180">
        <f t="shared" si="5"/>
        <v>2.9333333333333331</v>
      </c>
      <c r="D75" s="180">
        <f t="shared" si="5"/>
        <v>1.6363636363636365</v>
      </c>
      <c r="E75" s="180">
        <f t="shared" si="5"/>
        <v>1.1527777777777777</v>
      </c>
      <c r="F75" s="180"/>
      <c r="G75" s="181"/>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row>
    <row r="76" spans="2:52" s="143" customFormat="1" x14ac:dyDescent="0.3">
      <c r="B76" s="179">
        <v>2015</v>
      </c>
      <c r="C76" s="180">
        <f t="shared" si="5"/>
        <v>1.5526315789473684</v>
      </c>
      <c r="D76" s="180">
        <f t="shared" si="5"/>
        <v>1.3050847457627119</v>
      </c>
      <c r="E76" s="180"/>
      <c r="F76" s="180"/>
      <c r="G76" s="181"/>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row>
    <row r="77" spans="2:52" s="143" customFormat="1" x14ac:dyDescent="0.3">
      <c r="B77" s="179">
        <v>2016</v>
      </c>
      <c r="C77" s="180">
        <f t="shared" si="5"/>
        <v>1.9696969696969697</v>
      </c>
      <c r="D77" s="180"/>
      <c r="E77" s="180"/>
      <c r="F77" s="180"/>
      <c r="G77" s="181"/>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row>
    <row r="78" spans="2:52" s="143" customFormat="1" ht="15.6" thickBot="1" x14ac:dyDescent="0.35">
      <c r="B78" s="182">
        <v>2017</v>
      </c>
      <c r="C78" s="183"/>
      <c r="D78" s="183"/>
      <c r="E78" s="183"/>
      <c r="F78" s="183"/>
      <c r="G78" s="184"/>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row>
    <row r="79" spans="2:52" s="143" customFormat="1" ht="15.6" thickBot="1" x14ac:dyDescent="0.35">
      <c r="B79" s="185"/>
      <c r="C79" s="185"/>
      <c r="D79" s="185"/>
      <c r="E79" s="185"/>
      <c r="F79" s="185"/>
      <c r="G79" s="185"/>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row>
    <row r="80" spans="2:52" s="143" customFormat="1" x14ac:dyDescent="0.3">
      <c r="B80" s="186" t="s">
        <v>154</v>
      </c>
      <c r="C80" s="187">
        <f>AVERAGE(C71:C77)</f>
        <v>2.0102599865757758</v>
      </c>
      <c r="D80" s="187">
        <f>AVERAGE(D71:D77)</f>
        <v>1.3322368501276223</v>
      </c>
      <c r="E80" s="187">
        <f>AVERAGE(E71:E77)</f>
        <v>1.1526061442321818</v>
      </c>
      <c r="F80" s="187">
        <f>AVERAGE(F71:F77)</f>
        <v>1.0579165908263559</v>
      </c>
      <c r="G80" s="188">
        <f>AVERAGE(G71:G77)</f>
        <v>1.0257151345386639</v>
      </c>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row>
    <row r="81" spans="2:52" s="143" customFormat="1" ht="15.6" thickBot="1" x14ac:dyDescent="0.35">
      <c r="B81" s="182" t="s">
        <v>155</v>
      </c>
      <c r="C81" s="183">
        <f>C80*D81</f>
        <v>3.3495988016971365</v>
      </c>
      <c r="D81" s="183">
        <f>D80*E81</f>
        <v>1.6662515416241037</v>
      </c>
      <c r="E81" s="183">
        <f>E80*F81</f>
        <v>1.2507171990209431</v>
      </c>
      <c r="F81" s="183">
        <f>F80*G81</f>
        <v>1.0851210582901403</v>
      </c>
      <c r="G81" s="184">
        <f>G80</f>
        <v>1.0257151345386639</v>
      </c>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row>
    <row r="82" spans="2:52" s="143" customFormat="1" ht="15.6" thickBot="1" x14ac:dyDescent="0.35">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row>
    <row r="83" spans="2:52" s="143" customFormat="1" ht="30.6" thickBot="1" x14ac:dyDescent="0.35">
      <c r="B83" s="175" t="s">
        <v>90</v>
      </c>
      <c r="C83" s="175" t="s">
        <v>156</v>
      </c>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row>
    <row r="84" spans="2:52" s="143" customFormat="1" x14ac:dyDescent="0.3">
      <c r="B84" s="186">
        <v>2010</v>
      </c>
      <c r="C84" s="186">
        <f>H8</f>
        <v>89</v>
      </c>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row>
    <row r="85" spans="2:52" s="143" customFormat="1" x14ac:dyDescent="0.3">
      <c r="B85" s="179">
        <v>2011</v>
      </c>
      <c r="C85" s="179">
        <f>H9</f>
        <v>85</v>
      </c>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row>
    <row r="86" spans="2:52" s="143" customFormat="1" x14ac:dyDescent="0.3">
      <c r="B86" s="179">
        <v>2012</v>
      </c>
      <c r="C86" s="179">
        <f>H10</f>
        <v>112</v>
      </c>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row>
    <row r="87" spans="2:52" s="143" customFormat="1" x14ac:dyDescent="0.3">
      <c r="B87" s="179">
        <v>2013</v>
      </c>
      <c r="C87" s="189">
        <f>G11*G81</f>
        <v>71.800059417706478</v>
      </c>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row>
    <row r="88" spans="2:52" s="143" customFormat="1" ht="15.6" thickBot="1" x14ac:dyDescent="0.35">
      <c r="B88" s="182">
        <v>2014</v>
      </c>
      <c r="C88" s="190">
        <f>F12*F81</f>
        <v>90.065047838081639</v>
      </c>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row>
    <row r="89" spans="2:52" s="143" customFormat="1" ht="15.6" thickBot="1" x14ac:dyDescent="0.35">
      <c r="B89" s="191"/>
      <c r="C89" s="192"/>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row>
    <row r="90" spans="2:52" s="143" customFormat="1" ht="60.6" thickBot="1" x14ac:dyDescent="0.35">
      <c r="B90" s="175" t="s">
        <v>90</v>
      </c>
      <c r="C90" s="175" t="s">
        <v>157</v>
      </c>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2:52" s="143" customFormat="1" x14ac:dyDescent="0.3">
      <c r="B91" s="186">
        <v>2010</v>
      </c>
      <c r="C91" s="186">
        <f>H8-G8</f>
        <v>4</v>
      </c>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row>
    <row r="92" spans="2:52" s="143" customFormat="1" x14ac:dyDescent="0.3">
      <c r="B92" s="179">
        <v>2011</v>
      </c>
      <c r="C92" s="179">
        <f>H9-F9</f>
        <v>3</v>
      </c>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row>
    <row r="93" spans="2:52" s="143" customFormat="1" x14ac:dyDescent="0.3">
      <c r="B93" s="179">
        <v>2012</v>
      </c>
      <c r="C93" s="179">
        <f>H10-E10</f>
        <v>27</v>
      </c>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row>
    <row r="94" spans="2:52" s="143" customFormat="1" x14ac:dyDescent="0.3">
      <c r="B94" s="179">
        <v>2013</v>
      </c>
      <c r="C94" s="189">
        <f>C87-D11</f>
        <v>27.800059417706478</v>
      </c>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row>
    <row r="95" spans="2:52" s="143" customFormat="1" ht="15.6" thickBot="1" x14ac:dyDescent="0.35">
      <c r="B95" s="182">
        <v>2014</v>
      </c>
      <c r="C95" s="190">
        <f>C88-C12</f>
        <v>75.065047838081639</v>
      </c>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row>
    <row r="96" spans="2:52" s="143" customFormat="1" x14ac:dyDescent="0.3">
      <c r="C96" s="143" t="s">
        <v>158</v>
      </c>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row>
    <row r="97" spans="2:52" s="143" customFormat="1" x14ac:dyDescent="0.3">
      <c r="B97" s="193" t="s">
        <v>159</v>
      </c>
      <c r="C97" s="194">
        <f>SUM(C91:C95)</f>
        <v>136.86510725578813</v>
      </c>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row>
    <row r="99" spans="2:52" s="143" customFormat="1" x14ac:dyDescent="0.3">
      <c r="B99" s="142" t="s">
        <v>42</v>
      </c>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row>
    <row r="100" spans="2:52" s="143" customFormat="1" x14ac:dyDescent="0.3">
      <c r="B100" s="173" t="s">
        <v>160</v>
      </c>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row>
  </sheetData>
  <mergeCells count="3">
    <mergeCell ref="C6:H6"/>
    <mergeCell ref="B46:B47"/>
    <mergeCell ref="C46:H46"/>
  </mergeCells>
  <conditionalFormatting sqref="B1">
    <cfRule type="cellIs" dxfId="189" priority="1" operator="equal">
      <formula>"Review Later"</formula>
    </cfRule>
    <cfRule type="cellIs" dxfId="188" priority="2" operator="equal">
      <formula>"Finished"</formula>
    </cfRule>
    <cfRule type="cellIs" dxfId="187" priority="3" operator="equal">
      <formula>"Incomplete"</formula>
    </cfRule>
  </conditionalFormatting>
  <dataValidations count="1">
    <dataValidation showDropDown="1" showInputMessage="1" showErrorMessage="1" sqref="B1"/>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205"/>
  <sheetViews>
    <sheetView zoomScaleNormal="100" workbookViewId="0"/>
  </sheetViews>
  <sheetFormatPr defaultColWidth="0" defaultRowHeight="0" customHeight="1" zeroHeight="1" x14ac:dyDescent="0.25"/>
  <cols>
    <col min="1" max="1" width="11.6640625" style="1" customWidth="1"/>
    <col min="2" max="2" width="46.88671875" style="1" customWidth="1"/>
    <col min="3" max="3" width="18.6640625" style="1" customWidth="1"/>
    <col min="4" max="4" width="16.44140625" style="1" customWidth="1"/>
    <col min="5" max="52" width="10.6640625" style="1" customWidth="1"/>
    <col min="53" max="55" width="0" style="1" hidden="1" customWidth="1"/>
    <col min="56" max="16384" width="10.6640625" style="1" hidden="1"/>
  </cols>
  <sheetData>
    <row r="1" spans="1:52" ht="14.85" customHeight="1" thickBot="1" x14ac:dyDescent="0.3">
      <c r="A1" s="3">
        <v>7</v>
      </c>
      <c r="B1" s="4"/>
      <c r="C1" s="5"/>
      <c r="D1" s="5"/>
      <c r="E1" s="6"/>
      <c r="F1" s="7"/>
      <c r="G1" s="7"/>
      <c r="H1" s="7"/>
      <c r="I1" s="7"/>
      <c r="J1" s="7"/>
      <c r="K1" s="7"/>
      <c r="L1" s="7"/>
      <c r="M1" s="7"/>
      <c r="N1" s="7"/>
      <c r="O1" s="7"/>
      <c r="P1" s="7"/>
      <c r="Q1" s="7"/>
      <c r="R1" s="7"/>
      <c r="S1" s="7"/>
      <c r="T1" s="7"/>
      <c r="U1" s="7"/>
      <c r="V1" s="7"/>
      <c r="W1" s="7"/>
    </row>
    <row r="2" spans="1:52" ht="14.85" customHeight="1" x14ac:dyDescent="0.25">
      <c r="A2" s="195" t="s">
        <v>4</v>
      </c>
      <c r="B2" s="196"/>
      <c r="C2" s="196"/>
      <c r="D2" s="196"/>
      <c r="E2" s="197"/>
      <c r="F2" s="7"/>
      <c r="G2" s="7"/>
      <c r="H2" s="7"/>
      <c r="I2" s="7"/>
      <c r="J2" s="7"/>
      <c r="K2" s="7"/>
      <c r="L2" s="7"/>
      <c r="M2" s="7"/>
      <c r="N2" s="7"/>
      <c r="O2" s="7"/>
      <c r="P2" s="7"/>
      <c r="Q2" s="7"/>
      <c r="R2" s="7"/>
      <c r="S2" s="7"/>
      <c r="T2" s="7"/>
      <c r="U2" s="7"/>
      <c r="V2" s="7"/>
      <c r="W2" s="7"/>
    </row>
    <row r="3" spans="1:52" ht="14.85" customHeight="1" x14ac:dyDescent="0.25">
      <c r="A3" s="198">
        <v>1.75</v>
      </c>
      <c r="B3" s="196"/>
      <c r="C3" s="196"/>
      <c r="D3" s="196"/>
      <c r="E3" s="197"/>
      <c r="F3" s="7"/>
      <c r="G3" s="7"/>
      <c r="H3" s="7"/>
      <c r="I3" s="7"/>
      <c r="J3" s="7"/>
      <c r="K3" s="7"/>
      <c r="L3" s="7"/>
      <c r="M3" s="7"/>
      <c r="N3" s="7"/>
      <c r="O3" s="7"/>
      <c r="P3" s="7"/>
      <c r="Q3" s="7"/>
      <c r="R3" s="7"/>
      <c r="S3" s="7"/>
      <c r="T3" s="7"/>
      <c r="U3" s="7"/>
      <c r="V3" s="7"/>
      <c r="W3" s="7"/>
    </row>
    <row r="4" spans="1:52" ht="14.85" customHeight="1" x14ac:dyDescent="0.25">
      <c r="A4" s="198"/>
      <c r="B4" s="196" t="s">
        <v>57</v>
      </c>
      <c r="C4" s="196"/>
      <c r="D4" s="196"/>
      <c r="E4" s="197"/>
      <c r="F4" s="7"/>
      <c r="G4" s="7"/>
      <c r="H4" s="7"/>
      <c r="I4" s="7"/>
      <c r="J4" s="7"/>
      <c r="K4" s="7"/>
      <c r="L4" s="7"/>
      <c r="M4" s="7"/>
      <c r="N4" s="7"/>
      <c r="O4" s="7"/>
      <c r="P4" s="7"/>
      <c r="Q4" s="7"/>
      <c r="R4" s="7"/>
      <c r="S4" s="7"/>
      <c r="T4" s="7"/>
      <c r="U4" s="7"/>
      <c r="V4" s="7"/>
      <c r="W4" s="7"/>
    </row>
    <row r="5" spans="1:52" ht="14.85" customHeight="1" thickBot="1" x14ac:dyDescent="0.3">
      <c r="A5" s="198"/>
      <c r="B5" s="196"/>
      <c r="C5" s="196"/>
      <c r="D5" s="196"/>
      <c r="E5" s="197"/>
      <c r="F5" s="7"/>
      <c r="G5" s="7"/>
      <c r="H5" s="7"/>
      <c r="I5" s="7"/>
      <c r="J5" s="7"/>
      <c r="K5" s="7"/>
      <c r="L5" s="7"/>
      <c r="M5" s="7"/>
      <c r="N5" s="7"/>
      <c r="O5" s="7"/>
      <c r="P5" s="7"/>
      <c r="Q5" s="7"/>
      <c r="R5" s="7"/>
      <c r="S5" s="7"/>
      <c r="T5" s="7"/>
      <c r="U5" s="7"/>
      <c r="V5" s="7"/>
      <c r="W5" s="7"/>
    </row>
    <row r="6" spans="1:52" ht="14.4" customHeight="1" thickBot="1" x14ac:dyDescent="0.3">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98"/>
      <c r="B9" s="206" t="s">
        <v>164</v>
      </c>
      <c r="C9" s="207">
        <v>3648</v>
      </c>
      <c r="D9" s="208">
        <v>0.75</v>
      </c>
      <c r="E9" s="209"/>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x14ac:dyDescent="0.3">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t="s">
        <v>175</v>
      </c>
      <c r="C23" s="7">
        <f>(C9*D9/C17+C10*D10/C18+C11*D11/D18)*1000</f>
        <v>73.87240645620443</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t="s">
        <v>176</v>
      </c>
      <c r="C24" s="51">
        <f>C9*(1-D9)/C15+C10*(1-D10)/C16+C11*(1-D11)/D16+C12*(1-D12)/D16</f>
        <v>0.13824509364473248</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t="s">
        <v>177</v>
      </c>
      <c r="C26" s="7">
        <f>C23/(1-C24-C6)</f>
        <v>91.003338418842773</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86" priority="1" operator="equal">
      <formula>"Review Later"</formula>
    </cfRule>
    <cfRule type="cellIs" dxfId="185" priority="2" operator="equal">
      <formula>"Finished"</formula>
    </cfRule>
    <cfRule type="cellIs" dxfId="184" priority="3" operator="equal">
      <formula>"Incomplete"</formula>
    </cfRule>
  </conditionalFormatting>
  <pageMargins left="0.7" right="0.7" top="0.75" bottom="0.75" header="0.51180555555555496" footer="0.51180555555555496"/>
  <pageSetup firstPageNumber="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C205"/>
  <sheetViews>
    <sheetView zoomScaleNormal="100" workbookViewId="0"/>
  </sheetViews>
  <sheetFormatPr defaultColWidth="0" defaultRowHeight="0" customHeight="1" zeroHeight="1" x14ac:dyDescent="0.25"/>
  <cols>
    <col min="1" max="1" width="11.6640625" style="1" customWidth="1"/>
    <col min="2" max="2" width="46.88671875" style="1" customWidth="1"/>
    <col min="3" max="3" width="18.6640625" style="1" customWidth="1"/>
    <col min="4" max="4" width="16.44140625" style="1" customWidth="1"/>
    <col min="5" max="52" width="10.6640625" style="1" customWidth="1"/>
    <col min="53" max="55" width="0" style="1" hidden="1" customWidth="1"/>
    <col min="56" max="16384" width="10.6640625" style="1" hidden="1"/>
  </cols>
  <sheetData>
    <row r="1" spans="1:52" ht="14.85" customHeight="1" thickBot="1" x14ac:dyDescent="0.3">
      <c r="A1" s="3">
        <v>7</v>
      </c>
      <c r="B1" s="4"/>
      <c r="C1" s="5"/>
      <c r="D1" s="5"/>
      <c r="E1" s="6"/>
      <c r="F1" s="7"/>
      <c r="G1" s="7"/>
      <c r="H1" s="7"/>
      <c r="I1" s="7"/>
      <c r="J1" s="7"/>
      <c r="K1" s="7"/>
      <c r="L1" s="7"/>
      <c r="M1" s="7"/>
      <c r="N1" s="7"/>
      <c r="O1" s="7"/>
      <c r="P1" s="7"/>
      <c r="Q1" s="7"/>
      <c r="R1" s="7"/>
      <c r="S1" s="7"/>
      <c r="T1" s="7"/>
      <c r="U1" s="7"/>
      <c r="V1" s="7"/>
      <c r="W1" s="7"/>
    </row>
    <row r="2" spans="1:52" ht="14.85" customHeight="1" x14ac:dyDescent="0.25">
      <c r="A2" s="195" t="s">
        <v>4</v>
      </c>
      <c r="B2" s="196"/>
      <c r="C2" s="196"/>
      <c r="D2" s="196"/>
      <c r="E2" s="197"/>
      <c r="F2" s="7"/>
      <c r="G2" s="7"/>
      <c r="H2" s="7"/>
      <c r="I2" s="7"/>
      <c r="J2" s="7"/>
      <c r="K2" s="7"/>
      <c r="L2" s="7"/>
      <c r="M2" s="7"/>
      <c r="N2" s="7"/>
      <c r="O2" s="7"/>
      <c r="P2" s="7"/>
      <c r="Q2" s="7"/>
      <c r="R2" s="7"/>
      <c r="S2" s="7"/>
      <c r="T2" s="7"/>
      <c r="U2" s="7"/>
      <c r="V2" s="7"/>
      <c r="W2" s="7"/>
    </row>
    <row r="3" spans="1:52" ht="14.85" customHeight="1" x14ac:dyDescent="0.25">
      <c r="A3" s="198">
        <v>1.75</v>
      </c>
      <c r="B3" s="196"/>
      <c r="C3" s="196"/>
      <c r="D3" s="196"/>
      <c r="E3" s="197"/>
      <c r="F3" s="7"/>
      <c r="G3" s="7"/>
      <c r="H3" s="7"/>
      <c r="I3" s="7"/>
      <c r="J3" s="7"/>
      <c r="K3" s="7"/>
      <c r="L3" s="7"/>
      <c r="M3" s="7"/>
      <c r="N3" s="7"/>
      <c r="O3" s="7"/>
      <c r="P3" s="7"/>
      <c r="Q3" s="7"/>
      <c r="R3" s="7"/>
      <c r="S3" s="7"/>
      <c r="T3" s="7"/>
      <c r="U3" s="7"/>
      <c r="V3" s="7"/>
      <c r="W3" s="7"/>
    </row>
    <row r="4" spans="1:52" ht="14.85" customHeight="1" x14ac:dyDescent="0.25">
      <c r="A4" s="198"/>
      <c r="B4" s="196" t="s">
        <v>57</v>
      </c>
      <c r="C4" s="196"/>
      <c r="D4" s="196"/>
      <c r="E4" s="197"/>
      <c r="F4" s="7"/>
      <c r="G4" s="7"/>
      <c r="H4" s="7"/>
      <c r="I4" s="7"/>
      <c r="J4" s="7"/>
      <c r="K4" s="7"/>
      <c r="L4" s="7"/>
      <c r="M4" s="7"/>
      <c r="N4" s="7"/>
      <c r="O4" s="7"/>
      <c r="P4" s="7"/>
      <c r="Q4" s="7"/>
      <c r="R4" s="7"/>
      <c r="S4" s="7"/>
      <c r="T4" s="7"/>
      <c r="U4" s="7"/>
      <c r="V4" s="7"/>
      <c r="W4" s="7"/>
    </row>
    <row r="5" spans="1:52" ht="14.85" customHeight="1" thickBot="1" x14ac:dyDescent="0.3">
      <c r="A5" s="198"/>
      <c r="B5" s="196"/>
      <c r="C5" s="196"/>
      <c r="D5" s="196"/>
      <c r="E5" s="197"/>
      <c r="F5" s="7"/>
      <c r="G5" s="7"/>
      <c r="H5" s="7"/>
      <c r="I5" s="7"/>
      <c r="J5" s="7"/>
      <c r="K5" s="7"/>
      <c r="L5" s="7"/>
      <c r="M5" s="7"/>
      <c r="N5" s="7"/>
      <c r="O5" s="7"/>
      <c r="P5" s="7"/>
      <c r="Q5" s="7"/>
      <c r="R5" s="7"/>
      <c r="S5" s="7"/>
      <c r="T5" s="7"/>
      <c r="U5" s="7"/>
      <c r="V5" s="7"/>
      <c r="W5" s="7"/>
    </row>
    <row r="6" spans="1:52" ht="14.4" customHeight="1" thickBot="1" x14ac:dyDescent="0.3">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98"/>
      <c r="B9" s="206" t="s">
        <v>164</v>
      </c>
      <c r="C9" s="207">
        <v>3648</v>
      </c>
      <c r="D9" s="208">
        <v>0.75</v>
      </c>
      <c r="E9" s="209"/>
      <c r="F9" s="7"/>
      <c r="G9" s="51"/>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x14ac:dyDescent="0.3">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c r="C23" s="7"/>
      <c r="D23" s="7" t="s">
        <v>178</v>
      </c>
      <c r="E23" s="7" t="s">
        <v>179</v>
      </c>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t="s">
        <v>180</v>
      </c>
      <c r="C24" s="51"/>
      <c r="D24" s="235">
        <f>C9*D9/C17*1000</f>
        <v>32.526897699577958</v>
      </c>
      <c r="E24" s="51">
        <f>C9*(1-D9)/C15</f>
        <v>1.1266492068982557E-2</v>
      </c>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t="s">
        <v>181</v>
      </c>
      <c r="C25" s="51"/>
      <c r="D25" s="235">
        <f>C10*D10/C18*1000</f>
        <v>37.450272074626177</v>
      </c>
      <c r="E25" s="51">
        <f>C10*(1-D10)/C16</f>
        <v>1.322306043616725E-2</v>
      </c>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t="s">
        <v>182</v>
      </c>
      <c r="C26" s="51"/>
      <c r="D26" s="235">
        <f>C11*D11/D18*1000</f>
        <v>3.8952366820002968</v>
      </c>
      <c r="E26" s="51">
        <f>C11*(1-D11)/D16</f>
        <v>1.2771650989296141E-2</v>
      </c>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t="s">
        <v>183</v>
      </c>
      <c r="C27" s="51"/>
      <c r="D27" s="235">
        <f>C12*D12/D18*1000</f>
        <v>0</v>
      </c>
      <c r="E27" s="51">
        <f>C12*(1-D12)/D16</f>
        <v>0.10098389015028651</v>
      </c>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235">
        <f>SUM(D24:D27)</f>
        <v>73.87240645620443</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184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52">
        <f>D28/(1-SUM(C6,E24:E27))</f>
        <v>91.003338418842759</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83" priority="1" operator="equal">
      <formula>"Review Later"</formula>
    </cfRule>
    <cfRule type="cellIs" dxfId="182" priority="2" operator="equal">
      <formula>"Finished"</formula>
    </cfRule>
    <cfRule type="cellIs" dxfId="181" priority="3" operator="equal">
      <formula>"Incomplete"</formula>
    </cfRule>
  </conditionalFormatting>
  <pageMargins left="0.7" right="0.7" top="0.75" bottom="0.75" header="0.51180555555555496" footer="0.51180555555555496"/>
  <pageSetup firstPageNumber="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C205"/>
  <sheetViews>
    <sheetView zoomScaleNormal="100" zoomScalePageLayoutView="70" workbookViewId="0"/>
  </sheetViews>
  <sheetFormatPr defaultColWidth="0" defaultRowHeight="0" customHeight="1" zeroHeight="1" x14ac:dyDescent="0.25"/>
  <cols>
    <col min="1" max="1" width="11.6640625" style="1" customWidth="1"/>
    <col min="2" max="2" width="46.88671875" style="1" customWidth="1"/>
    <col min="3" max="3" width="18.6640625" style="1" customWidth="1"/>
    <col min="4" max="4" width="21.6640625" style="1" customWidth="1"/>
    <col min="5" max="5" width="26.44140625" style="1" customWidth="1"/>
    <col min="6" max="52" width="10.6640625" style="1" customWidth="1"/>
    <col min="53" max="55" width="0" style="1" hidden="1" customWidth="1"/>
    <col min="56" max="16384" width="10.6640625" style="1" hidden="1"/>
  </cols>
  <sheetData>
    <row r="1" spans="1:52" ht="14.85" customHeight="1" thickBot="1" x14ac:dyDescent="0.3">
      <c r="A1" s="3">
        <v>7</v>
      </c>
      <c r="B1" s="4"/>
      <c r="C1" s="5"/>
      <c r="D1" s="5"/>
      <c r="E1" s="6"/>
      <c r="F1" s="7"/>
      <c r="G1" s="7"/>
      <c r="H1" s="7"/>
      <c r="I1" s="7"/>
      <c r="J1" s="7"/>
      <c r="K1" s="7"/>
      <c r="L1" s="7"/>
      <c r="M1" s="7"/>
      <c r="N1" s="7"/>
      <c r="O1" s="7"/>
      <c r="P1" s="7"/>
      <c r="Q1" s="7"/>
      <c r="R1" s="7"/>
      <c r="S1" s="7"/>
      <c r="T1" s="7"/>
      <c r="U1" s="7"/>
      <c r="V1" s="7"/>
      <c r="W1" s="7"/>
    </row>
    <row r="2" spans="1:52" ht="14.85" customHeight="1" x14ac:dyDescent="0.25">
      <c r="A2" s="195" t="s">
        <v>4</v>
      </c>
      <c r="B2" s="196"/>
      <c r="C2" s="196"/>
      <c r="D2" s="196"/>
      <c r="E2" s="197"/>
      <c r="F2" s="7"/>
      <c r="G2" s="7"/>
      <c r="H2" s="7"/>
      <c r="I2" s="7"/>
      <c r="J2" s="7"/>
      <c r="K2" s="7"/>
      <c r="L2" s="7"/>
      <c r="M2" s="7"/>
      <c r="N2" s="7"/>
      <c r="O2" s="7"/>
      <c r="P2" s="7"/>
      <c r="Q2" s="7"/>
      <c r="R2" s="7"/>
      <c r="S2" s="7"/>
      <c r="T2" s="7"/>
      <c r="U2" s="7"/>
      <c r="V2" s="7"/>
      <c r="W2" s="7"/>
    </row>
    <row r="3" spans="1:52" ht="14.85" customHeight="1" x14ac:dyDescent="0.25">
      <c r="A3" s="198">
        <v>1.75</v>
      </c>
      <c r="B3" s="196"/>
      <c r="C3" s="196"/>
      <c r="D3" s="196"/>
      <c r="E3" s="197"/>
      <c r="F3" s="7"/>
      <c r="G3" s="7"/>
      <c r="H3" s="7"/>
      <c r="I3" s="7"/>
      <c r="J3" s="7"/>
      <c r="K3" s="7"/>
      <c r="L3" s="7"/>
      <c r="M3" s="7"/>
      <c r="N3" s="7"/>
      <c r="O3" s="7"/>
      <c r="P3" s="7"/>
      <c r="Q3" s="7"/>
      <c r="R3" s="7"/>
      <c r="S3" s="7"/>
      <c r="T3" s="7"/>
      <c r="U3" s="7"/>
      <c r="V3" s="7"/>
      <c r="W3" s="7"/>
    </row>
    <row r="4" spans="1:52" ht="14.85" customHeight="1" x14ac:dyDescent="0.25">
      <c r="A4" s="198"/>
      <c r="B4" s="196" t="s">
        <v>57</v>
      </c>
      <c r="C4" s="196"/>
      <c r="D4" s="196"/>
      <c r="E4" s="197"/>
      <c r="F4" s="7"/>
      <c r="G4" s="7"/>
      <c r="H4" s="7"/>
      <c r="I4" s="7"/>
      <c r="J4" s="7"/>
      <c r="K4" s="7"/>
      <c r="L4" s="7"/>
      <c r="M4" s="7"/>
      <c r="N4" s="7"/>
      <c r="O4" s="7"/>
      <c r="P4" s="7"/>
      <c r="Q4" s="7"/>
      <c r="R4" s="7"/>
      <c r="S4" s="7"/>
      <c r="T4" s="7"/>
      <c r="U4" s="7"/>
      <c r="V4" s="7"/>
      <c r="W4" s="7"/>
    </row>
    <row r="5" spans="1:52" ht="14.85" customHeight="1" thickBot="1" x14ac:dyDescent="0.3">
      <c r="A5" s="198"/>
      <c r="B5" s="196"/>
      <c r="C5" s="196"/>
      <c r="D5" s="196"/>
      <c r="E5" s="197"/>
      <c r="F5" s="7"/>
      <c r="G5" s="7"/>
      <c r="H5" s="7"/>
      <c r="I5" s="7"/>
      <c r="J5" s="7"/>
      <c r="K5" s="7"/>
      <c r="L5" s="7"/>
      <c r="M5" s="7"/>
      <c r="N5" s="7"/>
      <c r="O5" s="7"/>
      <c r="P5" s="7"/>
      <c r="Q5" s="7"/>
      <c r="R5" s="7"/>
      <c r="S5" s="7"/>
      <c r="T5" s="7"/>
      <c r="U5" s="7"/>
      <c r="V5" s="7"/>
      <c r="W5" s="7"/>
    </row>
    <row r="6" spans="1:52" ht="14.4" customHeight="1" thickBot="1" x14ac:dyDescent="0.3">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98"/>
      <c r="B9" s="206" t="s">
        <v>164</v>
      </c>
      <c r="C9" s="207">
        <v>3648</v>
      </c>
      <c r="D9" s="208">
        <v>0.75</v>
      </c>
      <c r="E9" s="209"/>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x14ac:dyDescent="0.3">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t="s">
        <v>185</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t="s">
        <v>186</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t="s">
        <v>187</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thickBot="1" x14ac:dyDescent="0.3">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thickBot="1" x14ac:dyDescent="0.3">
      <c r="A28" s="7"/>
      <c r="B28" s="203"/>
      <c r="C28" s="204" t="s">
        <v>162</v>
      </c>
      <c r="D28" s="204" t="s">
        <v>188</v>
      </c>
      <c r="E28" s="236" t="s">
        <v>189</v>
      </c>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206" t="s">
        <v>164</v>
      </c>
      <c r="C29" s="207">
        <v>3648</v>
      </c>
      <c r="D29" s="237">
        <f>(D9*C29)/C15</f>
        <v>3.3799476206947669E-2</v>
      </c>
      <c r="E29" s="238">
        <f>((1-D9)*C9)/C15</f>
        <v>1.1266492068982557E-2</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210" t="s">
        <v>165</v>
      </c>
      <c r="C30" s="211">
        <v>4368</v>
      </c>
      <c r="D30" s="239">
        <f>(D10*C10)/C16</f>
        <v>3.966918130850175E-2</v>
      </c>
      <c r="E30" s="240">
        <f>((1-D10)*C10)/C16</f>
        <v>1.322306043616725E-2</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210" t="s">
        <v>166</v>
      </c>
      <c r="C31" s="211">
        <v>315</v>
      </c>
      <c r="D31" s="239">
        <f>(D11*C11)/D16</f>
        <v>4.2572169964320465E-3</v>
      </c>
      <c r="E31" s="240">
        <f>((1-D11)*C11)/D16</f>
        <v>1.2771650989296141E-2</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thickBot="1" x14ac:dyDescent="0.3">
      <c r="A32" s="7"/>
      <c r="B32" s="213" t="s">
        <v>167</v>
      </c>
      <c r="C32" s="214">
        <v>1868</v>
      </c>
      <c r="D32" s="241">
        <v>0</v>
      </c>
      <c r="E32" s="242">
        <f>((1-D12)*C12)/D16</f>
        <v>0.10098389015028651</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243">
        <f>SUM(E29:E32)</f>
        <v>0.13824509364473248</v>
      </c>
      <c r="F33" s="244" t="s">
        <v>190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thickBot="1" x14ac:dyDescent="0.3">
      <c r="A34" s="7"/>
      <c r="B34" s="7" t="s">
        <v>191</v>
      </c>
      <c r="C34" s="7">
        <f>(D10*C10*1000/C18)+(D11*C11*1000/D18)+0+(D9*C9*1000/C17)</f>
        <v>73.87240645620443</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thickBot="1" x14ac:dyDescent="0.3">
      <c r="A35" s="7"/>
      <c r="B35" s="7" t="s">
        <v>192</v>
      </c>
      <c r="C35" s="245">
        <f>C34/(1-E33-C6)</f>
        <v>91.003338418842773</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80" priority="1" operator="equal">
      <formula>"Review Later"</formula>
    </cfRule>
    <cfRule type="cellIs" dxfId="179" priority="2" operator="equal">
      <formula>"Finished"</formula>
    </cfRule>
    <cfRule type="cellIs" dxfId="178" priority="3" operator="equal">
      <formula>"Incomplete"</formula>
    </cfRule>
  </conditionalFormatting>
  <pageMargins left="0.7" right="0.7" top="0.75" bottom="0.75" header="0.51180555555555496" footer="0.51180555555555496"/>
  <pageSetup firstPageNumber="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C309"/>
  <sheetViews>
    <sheetView zoomScaleNormal="100" workbookViewId="0"/>
  </sheetViews>
  <sheetFormatPr defaultColWidth="0" defaultRowHeight="0" customHeight="1" zeroHeight="1" x14ac:dyDescent="0.25"/>
  <cols>
    <col min="1" max="1" width="11.6640625" style="21" customWidth="1"/>
    <col min="2" max="2" width="14.109375" style="21" customWidth="1"/>
    <col min="3" max="3" width="14.88671875" style="21" customWidth="1"/>
    <col min="4" max="8" width="11.6640625" style="21" customWidth="1"/>
    <col min="9" max="52" width="10.6640625" style="21" customWidth="1"/>
    <col min="53" max="55" width="0" style="21" hidden="1" customWidth="1"/>
    <col min="56" max="16384" width="10.6640625" style="21" hidden="1"/>
  </cols>
  <sheetData>
    <row r="1" spans="1:52" ht="14.85" customHeight="1" thickBot="1" x14ac:dyDescent="0.3">
      <c r="A1" s="3">
        <v>8</v>
      </c>
      <c r="B1" s="4"/>
      <c r="C1" s="5"/>
      <c r="D1" s="246"/>
      <c r="E1" s="246"/>
      <c r="F1" s="246"/>
      <c r="G1" s="246"/>
      <c r="H1" s="246"/>
      <c r="I1" s="246"/>
      <c r="J1" s="246"/>
      <c r="K1" s="247"/>
      <c r="L1" s="20"/>
      <c r="M1" s="20"/>
      <c r="N1" s="20"/>
      <c r="O1" s="20"/>
      <c r="P1" s="20"/>
      <c r="Q1" s="20"/>
      <c r="R1" s="20"/>
      <c r="S1" s="20"/>
      <c r="T1" s="20"/>
      <c r="U1" s="20"/>
      <c r="V1" s="20"/>
      <c r="W1" s="20"/>
    </row>
    <row r="2" spans="1:52" ht="13.8" x14ac:dyDescent="0.2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x14ac:dyDescent="0.25">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x14ac:dyDescent="0.25">
      <c r="A4" s="250"/>
      <c r="B4" s="251" t="s">
        <v>193</v>
      </c>
      <c r="C4" s="248"/>
      <c r="D4" s="248"/>
      <c r="E4" s="248"/>
      <c r="F4" s="248"/>
      <c r="G4" s="248"/>
      <c r="H4" s="248"/>
      <c r="I4" s="248"/>
      <c r="J4" s="248"/>
      <c r="K4" s="249"/>
      <c r="L4" s="20"/>
      <c r="M4" s="20"/>
      <c r="N4" s="20"/>
      <c r="O4" s="20"/>
      <c r="P4" s="20"/>
      <c r="Q4" s="20"/>
      <c r="R4" s="20"/>
      <c r="S4" s="20"/>
      <c r="T4" s="20"/>
      <c r="U4" s="20"/>
      <c r="V4" s="20"/>
      <c r="W4" s="20"/>
    </row>
    <row r="5" spans="1:52" ht="14.85" customHeight="1" thickBot="1" x14ac:dyDescent="0.3">
      <c r="A5" s="250"/>
      <c r="B5" s="251"/>
      <c r="C5" s="248"/>
      <c r="D5" s="248"/>
      <c r="E5" s="248"/>
      <c r="F5" s="248"/>
      <c r="G5" s="248"/>
      <c r="H5" s="248"/>
      <c r="I5" s="248"/>
      <c r="J5" s="248"/>
      <c r="K5" s="249"/>
      <c r="L5" s="20"/>
      <c r="M5" s="20"/>
      <c r="N5" s="20"/>
      <c r="O5" s="20"/>
      <c r="P5" s="20"/>
      <c r="Q5" s="20"/>
      <c r="R5" s="20"/>
      <c r="S5" s="20"/>
      <c r="T5" s="20"/>
      <c r="U5" s="20"/>
      <c r="V5" s="20"/>
      <c r="W5" s="20"/>
    </row>
    <row r="6" spans="1:52" ht="29.4" customHeight="1" thickBot="1" x14ac:dyDescent="0.3">
      <c r="A6" s="250"/>
      <c r="B6" s="252" t="s">
        <v>194</v>
      </c>
      <c r="C6" s="253"/>
      <c r="D6" s="253"/>
      <c r="E6" s="254"/>
      <c r="F6" s="248"/>
      <c r="G6" s="248"/>
      <c r="H6" s="248"/>
      <c r="I6" s="248"/>
      <c r="J6" s="248"/>
      <c r="K6" s="249"/>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x14ac:dyDescent="0.3">
      <c r="A7" s="250"/>
      <c r="B7" s="204" t="s">
        <v>90</v>
      </c>
      <c r="C7" s="255">
        <v>12</v>
      </c>
      <c r="D7" s="255">
        <v>24</v>
      </c>
      <c r="E7" s="256">
        <v>36</v>
      </c>
      <c r="F7" s="248"/>
      <c r="G7" s="248"/>
      <c r="H7" s="248"/>
      <c r="I7" s="248"/>
      <c r="J7" s="248"/>
      <c r="K7" s="249"/>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x14ac:dyDescent="0.25">
      <c r="A8" s="250"/>
      <c r="B8" s="257">
        <v>2015</v>
      </c>
      <c r="C8" s="258">
        <v>1000</v>
      </c>
      <c r="D8" s="259">
        <v>1167.5</v>
      </c>
      <c r="E8" s="260">
        <v>1250</v>
      </c>
      <c r="F8" s="248"/>
      <c r="G8" s="248"/>
      <c r="H8" s="248"/>
      <c r="I8" s="248"/>
      <c r="J8" s="248"/>
      <c r="K8" s="249"/>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x14ac:dyDescent="0.25">
      <c r="A9" s="250"/>
      <c r="B9" s="257">
        <v>2016</v>
      </c>
      <c r="C9" s="258">
        <v>1100</v>
      </c>
      <c r="D9" s="259">
        <v>1285</v>
      </c>
      <c r="E9" s="261"/>
      <c r="F9" s="248"/>
      <c r="G9" s="248"/>
      <c r="H9" s="248"/>
      <c r="I9" s="248"/>
      <c r="J9" s="248"/>
      <c r="K9" s="249"/>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x14ac:dyDescent="0.3">
      <c r="A10" s="250"/>
      <c r="B10" s="262">
        <v>2017</v>
      </c>
      <c r="C10" s="263">
        <v>1050</v>
      </c>
      <c r="D10" s="264"/>
      <c r="E10" s="265"/>
      <c r="F10" s="248"/>
      <c r="G10" s="248"/>
      <c r="H10" s="248"/>
      <c r="I10" s="248"/>
      <c r="J10" s="248"/>
      <c r="K10" s="249"/>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thickBot="1" x14ac:dyDescent="0.3">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2.6" customHeight="1" thickBot="1" x14ac:dyDescent="0.3">
      <c r="A12" s="250"/>
      <c r="B12" s="204" t="s">
        <v>195</v>
      </c>
      <c r="C12" s="256" t="s">
        <v>196</v>
      </c>
      <c r="D12" s="248"/>
      <c r="E12" s="248"/>
      <c r="F12" s="248"/>
      <c r="G12" s="248"/>
      <c r="H12" s="248"/>
      <c r="I12" s="248"/>
      <c r="J12" s="248"/>
      <c r="K12" s="249"/>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x14ac:dyDescent="0.25">
      <c r="A13" s="250"/>
      <c r="B13" s="266">
        <v>2015</v>
      </c>
      <c r="C13" s="260">
        <v>1900</v>
      </c>
      <c r="D13" s="248"/>
      <c r="E13" s="248"/>
      <c r="F13" s="248"/>
      <c r="G13" s="248"/>
      <c r="H13" s="248"/>
      <c r="I13" s="248"/>
      <c r="J13" s="248"/>
      <c r="K13" s="249"/>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250"/>
      <c r="B14" s="266">
        <v>2016</v>
      </c>
      <c r="C14" s="260">
        <v>2085</v>
      </c>
      <c r="D14" s="248"/>
      <c r="E14" s="248"/>
      <c r="F14" s="248"/>
      <c r="G14" s="248"/>
      <c r="H14" s="248"/>
      <c r="I14" s="248"/>
      <c r="J14" s="248"/>
      <c r="K14" s="249"/>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x14ac:dyDescent="0.3">
      <c r="A15" s="250"/>
      <c r="B15" s="267">
        <v>2017</v>
      </c>
      <c r="C15" s="268">
        <v>2100</v>
      </c>
      <c r="D15" s="248"/>
      <c r="E15" s="248"/>
      <c r="F15" s="248"/>
      <c r="G15" s="248"/>
      <c r="H15" s="248"/>
      <c r="I15" s="248"/>
      <c r="J15" s="248"/>
      <c r="K15" s="249"/>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x14ac:dyDescent="0.3">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x14ac:dyDescent="0.25">
      <c r="A17" s="269"/>
      <c r="B17" s="272">
        <v>0.02</v>
      </c>
      <c r="C17" s="273" t="s">
        <v>197</v>
      </c>
      <c r="D17" s="246"/>
      <c r="E17" s="246"/>
      <c r="F17" s="246"/>
      <c r="G17" s="246"/>
      <c r="H17" s="246"/>
      <c r="I17" s="247"/>
      <c r="J17" s="270"/>
      <c r="K17" s="271"/>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x14ac:dyDescent="0.25">
      <c r="A18" s="269"/>
      <c r="B18" s="274">
        <v>0.03</v>
      </c>
      <c r="C18" s="269" t="s">
        <v>198</v>
      </c>
      <c r="D18" s="270"/>
      <c r="E18" s="270"/>
      <c r="F18" s="270"/>
      <c r="G18" s="270"/>
      <c r="H18" s="270"/>
      <c r="I18" s="271"/>
      <c r="J18" s="270"/>
      <c r="K18" s="271"/>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x14ac:dyDescent="0.25">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x14ac:dyDescent="0.25">
      <c r="A20" s="269"/>
      <c r="B20" s="275">
        <v>0.3</v>
      </c>
      <c r="C20" s="276" t="s">
        <v>200</v>
      </c>
      <c r="D20" s="270"/>
      <c r="E20" s="270"/>
      <c r="F20" s="270"/>
      <c r="G20" s="270"/>
      <c r="H20" s="270"/>
      <c r="I20" s="271"/>
      <c r="J20" s="270"/>
      <c r="K20" s="271"/>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x14ac:dyDescent="0.25">
      <c r="A21" s="269"/>
      <c r="B21" s="275">
        <v>0.05</v>
      </c>
      <c r="C21" s="276" t="s">
        <v>201</v>
      </c>
      <c r="D21" s="270"/>
      <c r="E21" s="270"/>
      <c r="F21" s="270"/>
      <c r="G21" s="270"/>
      <c r="H21" s="270"/>
      <c r="I21" s="271"/>
      <c r="J21" s="270"/>
      <c r="K21" s="271"/>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x14ac:dyDescent="0.25">
      <c r="A22" s="269"/>
      <c r="B22" s="275">
        <v>7.0000000000000007E-2</v>
      </c>
      <c r="C22" s="276" t="s">
        <v>202</v>
      </c>
      <c r="D22" s="270"/>
      <c r="E22" s="270"/>
      <c r="F22" s="270"/>
      <c r="G22" s="270"/>
      <c r="H22" s="270"/>
      <c r="I22" s="271"/>
      <c r="J22" s="270"/>
      <c r="K22" s="271"/>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x14ac:dyDescent="0.3">
      <c r="A23" s="269"/>
      <c r="B23" s="277">
        <v>0.04</v>
      </c>
      <c r="C23" s="278" t="s">
        <v>203</v>
      </c>
      <c r="D23" s="279"/>
      <c r="E23" s="279"/>
      <c r="F23" s="279"/>
      <c r="G23" s="279"/>
      <c r="H23" s="279"/>
      <c r="I23" s="280"/>
      <c r="J23" s="270"/>
      <c r="K23" s="271"/>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x14ac:dyDescent="0.3">
      <c r="A24" s="269"/>
      <c r="B24" s="270"/>
      <c r="C24" s="270"/>
      <c r="D24" s="270"/>
      <c r="E24" s="270"/>
      <c r="F24" s="270"/>
      <c r="G24" s="270"/>
      <c r="H24" s="270"/>
      <c r="I24" s="270"/>
      <c r="J24" s="270"/>
      <c r="K24" s="271"/>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x14ac:dyDescent="0.3">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x14ac:dyDescent="0.25">
      <c r="A26" s="250"/>
      <c r="B26" s="251"/>
      <c r="C26" s="248"/>
      <c r="D26" s="248"/>
      <c r="E26" s="248"/>
      <c r="F26" s="248"/>
      <c r="G26" s="248"/>
      <c r="H26" s="248"/>
      <c r="I26" s="248"/>
      <c r="J26" s="248"/>
      <c r="K26" s="249"/>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x14ac:dyDescent="0.25">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x14ac:dyDescent="0.25">
      <c r="A28" s="269"/>
      <c r="B28" s="251" t="s">
        <v>206</v>
      </c>
      <c r="C28" s="270"/>
      <c r="D28" s="270"/>
      <c r="E28" s="270"/>
      <c r="F28" s="270"/>
      <c r="G28" s="270"/>
      <c r="H28" s="270"/>
      <c r="I28" s="270"/>
      <c r="J28" s="270"/>
      <c r="K28" s="271"/>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x14ac:dyDescent="0.25">
      <c r="A29" s="250"/>
      <c r="B29" s="251" t="s">
        <v>207</v>
      </c>
      <c r="C29" s="248"/>
      <c r="D29" s="248"/>
      <c r="E29" s="248"/>
      <c r="F29" s="248"/>
      <c r="G29" s="248"/>
      <c r="H29" s="248"/>
      <c r="I29" s="248"/>
      <c r="J29" s="248"/>
      <c r="K29" s="249"/>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x14ac:dyDescent="0.25">
      <c r="A30" s="250"/>
      <c r="B30" s="201" t="s">
        <v>208</v>
      </c>
      <c r="C30" s="248"/>
      <c r="D30" s="248"/>
      <c r="E30" s="248"/>
      <c r="F30" s="248"/>
      <c r="G30" s="248"/>
      <c r="H30" s="248"/>
      <c r="I30" s="248"/>
      <c r="J30" s="248"/>
      <c r="K30" s="249"/>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x14ac:dyDescent="0.25">
      <c r="A31" s="250"/>
      <c r="B31" s="251"/>
      <c r="C31" s="248"/>
      <c r="D31" s="248"/>
      <c r="E31" s="248"/>
      <c r="F31" s="248"/>
      <c r="G31" s="248"/>
      <c r="H31" s="248"/>
      <c r="I31" s="248"/>
      <c r="J31" s="248"/>
      <c r="K31" s="249"/>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x14ac:dyDescent="0.25">
      <c r="A32" s="198">
        <v>4.25</v>
      </c>
      <c r="B32" s="251" t="s">
        <v>0</v>
      </c>
      <c r="C32" s="248"/>
      <c r="D32" s="248"/>
      <c r="E32" s="248"/>
      <c r="F32" s="248"/>
      <c r="G32" s="248"/>
      <c r="H32" s="248"/>
      <c r="I32" s="248"/>
      <c r="J32" s="248"/>
      <c r="K32" s="249"/>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x14ac:dyDescent="0.25">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x14ac:dyDescent="0.25">
      <c r="A34" s="250"/>
      <c r="B34" s="251" t="s">
        <v>210</v>
      </c>
      <c r="C34" s="248"/>
      <c r="D34" s="248"/>
      <c r="E34" s="248"/>
      <c r="F34" s="248"/>
      <c r="G34" s="248"/>
      <c r="H34" s="248"/>
      <c r="I34" s="248"/>
      <c r="J34" s="248"/>
      <c r="K34" s="249"/>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x14ac:dyDescent="0.25">
      <c r="A35" s="250"/>
      <c r="B35" s="251"/>
      <c r="C35" s="248"/>
      <c r="D35" s="248"/>
      <c r="E35" s="248"/>
      <c r="F35" s="248"/>
      <c r="G35" s="248"/>
      <c r="H35" s="248"/>
      <c r="I35" s="248"/>
      <c r="J35" s="248"/>
      <c r="K35" s="249"/>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x14ac:dyDescent="0.25">
      <c r="A36" s="198">
        <v>2.25</v>
      </c>
      <c r="B36" s="251" t="s">
        <v>1</v>
      </c>
      <c r="C36" s="248"/>
      <c r="D36" s="248"/>
      <c r="E36" s="248"/>
      <c r="F36" s="248"/>
      <c r="G36" s="248"/>
      <c r="H36" s="248"/>
      <c r="I36" s="248"/>
      <c r="J36" s="248"/>
      <c r="K36" s="249"/>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x14ac:dyDescent="0.25">
      <c r="A37" s="250"/>
      <c r="B37" s="251" t="s">
        <v>211</v>
      </c>
      <c r="C37" s="248"/>
      <c r="D37" s="248"/>
      <c r="E37" s="248"/>
      <c r="F37" s="248"/>
      <c r="G37" s="248"/>
      <c r="H37" s="248"/>
      <c r="I37" s="248"/>
      <c r="J37" s="248"/>
      <c r="K37" s="249"/>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x14ac:dyDescent="0.25">
      <c r="A38" s="250"/>
      <c r="B38" s="251" t="s">
        <v>212</v>
      </c>
      <c r="C38" s="248"/>
      <c r="D38" s="248"/>
      <c r="E38" s="248"/>
      <c r="F38" s="248"/>
      <c r="G38" s="248"/>
      <c r="H38" s="248"/>
      <c r="I38" s="248"/>
      <c r="J38" s="248"/>
      <c r="K38" s="249"/>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x14ac:dyDescent="0.3">
      <c r="A39" s="285"/>
      <c r="B39" s="286"/>
      <c r="C39" s="287"/>
      <c r="D39" s="287"/>
      <c r="E39" s="287"/>
      <c r="F39" s="287"/>
      <c r="G39" s="287"/>
      <c r="H39" s="287"/>
      <c r="I39" s="287"/>
      <c r="J39" s="287"/>
      <c r="K39" s="288"/>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x14ac:dyDescent="0.25">
      <c r="A41" s="20"/>
      <c r="B41" s="20" t="s">
        <v>10</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x14ac:dyDescent="0.25">
      <c r="A42" s="20"/>
      <c r="B42" s="20" t="s">
        <v>213</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thickBot="1" x14ac:dyDescent="0.3">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thickBot="1" x14ac:dyDescent="0.3">
      <c r="A44" s="20"/>
      <c r="B44" s="252" t="s">
        <v>194</v>
      </c>
      <c r="C44" s="253"/>
      <c r="D44" s="253"/>
      <c r="E44" s="254"/>
      <c r="F44" s="20"/>
      <c r="G44" s="20" t="s">
        <v>214</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thickBot="1" x14ac:dyDescent="0.3">
      <c r="A45" s="20"/>
      <c r="B45" s="204" t="s">
        <v>90</v>
      </c>
      <c r="C45" s="255">
        <v>12</v>
      </c>
      <c r="D45" s="255">
        <v>24</v>
      </c>
      <c r="E45" s="256">
        <v>36</v>
      </c>
      <c r="F45" s="20"/>
      <c r="G45" s="204" t="s">
        <v>90</v>
      </c>
      <c r="H45" s="289" t="s">
        <v>149</v>
      </c>
      <c r="I45" s="289" t="s">
        <v>150</v>
      </c>
      <c r="J45" s="290" t="s">
        <v>215</v>
      </c>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x14ac:dyDescent="0.25">
      <c r="A46" s="20"/>
      <c r="B46" s="257">
        <v>2015</v>
      </c>
      <c r="C46" s="258">
        <v>1000</v>
      </c>
      <c r="D46" s="259">
        <v>1167.5</v>
      </c>
      <c r="E46" s="260">
        <v>1250</v>
      </c>
      <c r="F46" s="20"/>
      <c r="G46" s="257">
        <v>2015</v>
      </c>
      <c r="H46" s="291">
        <f>D46/C46</f>
        <v>1.1675</v>
      </c>
      <c r="I46" s="291">
        <f t="shared" ref="I46" si="0">E46/D46</f>
        <v>1.0706638115631693</v>
      </c>
      <c r="J46" s="292">
        <f>B25</f>
        <v>1.0669999999999999</v>
      </c>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x14ac:dyDescent="0.25">
      <c r="A47" s="20"/>
      <c r="B47" s="257">
        <v>2016</v>
      </c>
      <c r="C47" s="258">
        <v>1100</v>
      </c>
      <c r="D47" s="259">
        <v>1285</v>
      </c>
      <c r="E47" s="261"/>
      <c r="F47" s="20"/>
      <c r="G47" s="257">
        <v>2016</v>
      </c>
      <c r="H47" s="291">
        <f t="shared" ref="H47" si="1">D47/C47</f>
        <v>1.1681818181818182</v>
      </c>
      <c r="I47" s="291"/>
      <c r="J47" s="293"/>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thickBot="1" x14ac:dyDescent="0.3">
      <c r="A48" s="20"/>
      <c r="B48" s="262">
        <v>2017</v>
      </c>
      <c r="C48" s="263">
        <v>1050</v>
      </c>
      <c r="D48" s="264"/>
      <c r="E48" s="265"/>
      <c r="F48" s="20"/>
      <c r="G48" s="262" t="s">
        <v>216</v>
      </c>
      <c r="H48" s="294">
        <f>AVERAGE(H46:H47)</f>
        <v>1.1678409090909092</v>
      </c>
      <c r="I48" s="295">
        <f>I46</f>
        <v>1.0706638115631693</v>
      </c>
      <c r="J48" s="296">
        <f>J46</f>
        <v>1.0669999999999999</v>
      </c>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x14ac:dyDescent="0.25">
      <c r="A49" s="20"/>
      <c r="B49" s="20"/>
      <c r="C49" s="20"/>
      <c r="D49" s="20"/>
      <c r="E49" s="20"/>
      <c r="F49" s="20"/>
      <c r="G49" s="20" t="s">
        <v>217</v>
      </c>
      <c r="H49" s="20">
        <f>PRODUCT(H48:J48)</f>
        <v>1.3341394539614562</v>
      </c>
      <c r="I49" s="20">
        <f>PRODUCT(I48:J48)</f>
        <v>1.1423982869379015</v>
      </c>
      <c r="J49" s="297">
        <f>J48</f>
        <v>1.0669999999999999</v>
      </c>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20"/>
      <c r="B50" s="20"/>
      <c r="C50" s="20"/>
      <c r="D50" s="20"/>
      <c r="E50" s="20"/>
      <c r="F50" s="20"/>
      <c r="G50" s="20" t="s">
        <v>218</v>
      </c>
      <c r="H50" s="20">
        <f>1/H49</f>
        <v>0.74954683112826259</v>
      </c>
      <c r="I50" s="20">
        <f>1/I49</f>
        <v>0.87535145267104031</v>
      </c>
      <c r="J50" s="20">
        <f>1/J49</f>
        <v>0.93720712277413309</v>
      </c>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x14ac:dyDescent="0.25">
      <c r="A51" s="20"/>
      <c r="B51" s="20"/>
      <c r="C51" s="20" t="s">
        <v>219</v>
      </c>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x14ac:dyDescent="0.25">
      <c r="A52" s="20"/>
      <c r="B52" s="20" t="s">
        <v>220</v>
      </c>
      <c r="C52" s="20" t="s">
        <v>221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x14ac:dyDescent="0.25">
      <c r="A53" s="20"/>
      <c r="B53" s="20">
        <v>2015</v>
      </c>
      <c r="C53" s="20">
        <f>E46*(1+B17)^2</f>
        <v>1300.5</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x14ac:dyDescent="0.25">
      <c r="A54" s="20"/>
      <c r="B54" s="20">
        <v>2016</v>
      </c>
      <c r="C54" s="298">
        <f>D47*(1+B17)</f>
        <v>1310.7</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x14ac:dyDescent="0.25">
      <c r="A55" s="20"/>
      <c r="B55" s="20">
        <v>2017</v>
      </c>
      <c r="C55" s="298">
        <f>C48</f>
        <v>1050</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x14ac:dyDescent="0.25">
      <c r="A57" s="20"/>
      <c r="B57" s="20" t="s">
        <v>222</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thickBo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thickBot="1" x14ac:dyDescent="0.3">
      <c r="A59" s="20"/>
      <c r="B59" s="204" t="s">
        <v>195</v>
      </c>
      <c r="C59" s="256" t="s">
        <v>196</v>
      </c>
      <c r="D59" s="20" t="s">
        <v>223</v>
      </c>
      <c r="E59" s="20" t="s">
        <v>224</v>
      </c>
      <c r="F59" s="20" t="s">
        <v>225</v>
      </c>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x14ac:dyDescent="0.25">
      <c r="A60" s="20"/>
      <c r="B60" s="266">
        <v>2015</v>
      </c>
      <c r="C60" s="260">
        <v>1900</v>
      </c>
      <c r="D60" s="20">
        <f>B66/C67</f>
        <v>1.04</v>
      </c>
      <c r="E60" s="20">
        <f>(1+B18)^2</f>
        <v>1.0609</v>
      </c>
      <c r="F60" s="20">
        <f>C60*E60*D60</f>
        <v>2096.3384000000001</v>
      </c>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x14ac:dyDescent="0.25">
      <c r="A61" s="20"/>
      <c r="B61" s="266">
        <v>2016</v>
      </c>
      <c r="C61" s="260">
        <v>2085</v>
      </c>
      <c r="D61" s="20">
        <f>B66/D67</f>
        <v>1.0348258706467663</v>
      </c>
      <c r="E61" s="299">
        <f>(1+B18)</f>
        <v>1.03</v>
      </c>
      <c r="F61" s="20">
        <f>C61*E61*D61</f>
        <v>2222.3402985074631</v>
      </c>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thickBot="1" x14ac:dyDescent="0.3">
      <c r="A62" s="20"/>
      <c r="B62" s="267">
        <v>2017</v>
      </c>
      <c r="C62" s="268">
        <v>2100</v>
      </c>
      <c r="D62" s="20">
        <f>B66/E67</f>
        <v>1.0048309178743959</v>
      </c>
      <c r="E62" s="20">
        <v>1</v>
      </c>
      <c r="F62" s="20">
        <f t="shared" ref="F62" si="2">C62*E62*D62</f>
        <v>2110.1449275362315</v>
      </c>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x14ac:dyDescent="0.25">
      <c r="A63" s="20"/>
      <c r="B63" s="20"/>
      <c r="C63" s="20" t="s">
        <v>226</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x14ac:dyDescent="0.25">
      <c r="A64" s="20"/>
      <c r="B64" s="20" t="s">
        <v>227</v>
      </c>
      <c r="C64" s="20">
        <v>2015</v>
      </c>
      <c r="D64" s="20">
        <v>2016</v>
      </c>
      <c r="E64" s="20">
        <v>2017</v>
      </c>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x14ac:dyDescent="0.25">
      <c r="A65" s="20"/>
      <c r="B65" s="20">
        <v>1</v>
      </c>
      <c r="C65" s="20">
        <f>1</f>
        <v>1</v>
      </c>
      <c r="D65" s="20">
        <f>1-D66</f>
        <v>0.875</v>
      </c>
      <c r="E65" s="20">
        <f>(6/12)*(6/12)*0.5</f>
        <v>0.125</v>
      </c>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x14ac:dyDescent="0.25">
      <c r="A66" s="20"/>
      <c r="B66" s="299">
        <f>1+B23</f>
        <v>1.04</v>
      </c>
      <c r="C66" s="20">
        <v>0</v>
      </c>
      <c r="D66" s="20">
        <f>(6/12)*(6/12)*0.5</f>
        <v>0.125</v>
      </c>
      <c r="E66" s="20">
        <f>1-E65</f>
        <v>0.875</v>
      </c>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x14ac:dyDescent="0.25">
      <c r="A67" s="20"/>
      <c r="B67" s="20" t="s">
        <v>228</v>
      </c>
      <c r="C67" s="20">
        <f>SUMPRODUCT(C65:C66,B65:B66)</f>
        <v>1</v>
      </c>
      <c r="D67" s="20">
        <f>SUMPRODUCT(D65:D66,B65:B66)</f>
        <v>1.0049999999999999</v>
      </c>
      <c r="E67" s="20">
        <f>SUMPRODUCT(E65:E66,B65:B66)</f>
        <v>1.0350000000000001</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x14ac:dyDescent="0.25">
      <c r="A70" s="20"/>
      <c r="B70" s="20" t="s">
        <v>229</v>
      </c>
      <c r="C70" s="20"/>
      <c r="D70" s="20"/>
      <c r="E70" s="20" t="s">
        <v>230</v>
      </c>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x14ac:dyDescent="0.25">
      <c r="A71" s="20"/>
      <c r="B71" s="20"/>
      <c r="C71" s="20" t="str">
        <f t="shared" ref="B71:C75" si="3">C51</f>
        <v xml:space="preserve">trended rpt loss </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x14ac:dyDescent="0.25">
      <c r="A72" s="20"/>
      <c r="B72" s="20" t="str">
        <f t="shared" si="3"/>
        <v xml:space="preserve">AY </v>
      </c>
      <c r="C72" s="20" t="str">
        <f t="shared" si="3"/>
        <v xml:space="preserve">&amp; ALAE </v>
      </c>
      <c r="D72" s="20" t="str">
        <f t="shared" ref="D72:D75" si="4">F59</f>
        <v>Trended OLEP</v>
      </c>
      <c r="E72" s="20" t="s">
        <v>231</v>
      </c>
      <c r="F72" s="20" t="s">
        <v>232</v>
      </c>
      <c r="G72" s="20" t="s">
        <v>233</v>
      </c>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x14ac:dyDescent="0.25">
      <c r="A73" s="20"/>
      <c r="B73" s="20">
        <f t="shared" si="3"/>
        <v>2015</v>
      </c>
      <c r="C73" s="20">
        <f t="shared" si="3"/>
        <v>1300.5</v>
      </c>
      <c r="D73" s="20">
        <f t="shared" si="4"/>
        <v>2096.3384000000001</v>
      </c>
      <c r="E73" s="20">
        <f>D73*J50</f>
        <v>1964.7032802249298</v>
      </c>
      <c r="F73" s="20">
        <f>C73/E73</f>
        <v>0.66193201441141369</v>
      </c>
      <c r="G73" s="20">
        <f>F76*D60*E60/(1+B17)^2</f>
        <v>0.70700961079618951</v>
      </c>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x14ac:dyDescent="0.25">
      <c r="A74" s="20"/>
      <c r="B74" s="20">
        <f t="shared" si="3"/>
        <v>2016</v>
      </c>
      <c r="C74" s="20">
        <f t="shared" si="3"/>
        <v>1310.7</v>
      </c>
      <c r="D74" s="20">
        <f t="shared" si="4"/>
        <v>2222.3402985074631</v>
      </c>
      <c r="E74" s="20">
        <f>D74*I50</f>
        <v>1945.3288086279013</v>
      </c>
      <c r="F74" s="20">
        <f>C74/E74</f>
        <v>0.67376784540834311</v>
      </c>
      <c r="G74" s="20">
        <f>F76*D61*E61/(1+B17)</f>
        <v>0.69666212917172732</v>
      </c>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x14ac:dyDescent="0.25">
      <c r="A75" s="20"/>
      <c r="B75" s="20">
        <f t="shared" si="3"/>
        <v>2017</v>
      </c>
      <c r="C75" s="20">
        <f t="shared" si="3"/>
        <v>1050</v>
      </c>
      <c r="D75" s="20">
        <f t="shared" si="4"/>
        <v>2110.1449275362315</v>
      </c>
      <c r="E75" s="20">
        <f>D75*H50</f>
        <v>1581.6524436561597</v>
      </c>
      <c r="F75" s="20">
        <f>C75/E75</f>
        <v>0.66386266098562852</v>
      </c>
      <c r="G75" s="20">
        <f>F76*D62</f>
        <v>0.66990136355136953</v>
      </c>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x14ac:dyDescent="0.25">
      <c r="A76" s="20"/>
      <c r="B76" s="20"/>
      <c r="C76" s="20">
        <f>SUM(C73:C75)</f>
        <v>3661.2</v>
      </c>
      <c r="D76" s="20"/>
      <c r="E76" s="20">
        <f>SUM(E73:E75)</f>
        <v>5491.6845325089907</v>
      </c>
      <c r="F76" s="300">
        <f>C76/E76</f>
        <v>0.66668068391891111</v>
      </c>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x14ac:dyDescent="0.25">
      <c r="A77" s="20"/>
      <c r="B77" s="20"/>
      <c r="C77" s="20"/>
      <c r="D77" s="20"/>
      <c r="E77" s="20"/>
      <c r="F77" s="20" t="s">
        <v>234</v>
      </c>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x14ac:dyDescent="0.25">
      <c r="A78" s="20"/>
      <c r="B78" s="20" t="s">
        <v>235</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x14ac:dyDescent="0.25">
      <c r="A80" s="20"/>
      <c r="B80" s="300" t="s">
        <v>220</v>
      </c>
      <c r="C80" s="300" t="s">
        <v>236</v>
      </c>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x14ac:dyDescent="0.25">
      <c r="A81" s="20"/>
      <c r="B81" s="300">
        <v>2015</v>
      </c>
      <c r="C81" s="301">
        <f>E46+(G73*C13*(1-J50))</f>
        <v>1334.3508186076429</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x14ac:dyDescent="0.25">
      <c r="A82" s="20"/>
      <c r="B82" s="300">
        <v>2016</v>
      </c>
      <c r="C82" s="300">
        <f>D9+(C14*G74*(1-I50))</f>
        <v>1466.057068163042</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x14ac:dyDescent="0.25">
      <c r="A83" s="20"/>
      <c r="B83" s="300">
        <v>2017</v>
      </c>
      <c r="C83" s="300">
        <f>C10+(C15*G75*(1-H50))</f>
        <v>1402.3357305991703</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x14ac:dyDescent="0.25">
      <c r="A84" s="20"/>
      <c r="B84" s="20" t="s">
        <v>237</v>
      </c>
      <c r="C84" s="302">
        <f>SUM(C81:C83)</f>
        <v>4202.7436173698552</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x14ac:dyDescent="0.25">
      <c r="A85" s="20"/>
      <c r="B85" s="20" t="s">
        <v>25</v>
      </c>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x14ac:dyDescent="0.25">
      <c r="A87" s="20"/>
      <c r="B87" s="20" t="s">
        <v>238</v>
      </c>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x14ac:dyDescent="0.25">
      <c r="A88" s="20"/>
      <c r="B88" s="20" t="s">
        <v>239</v>
      </c>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x14ac:dyDescent="0.25">
      <c r="A89" s="20"/>
      <c r="B89" s="20" t="s">
        <v>240</v>
      </c>
      <c r="C89" s="20" t="s">
        <v>241</v>
      </c>
      <c r="D89" s="20" t="s">
        <v>242</v>
      </c>
      <c r="E89" s="20" t="s">
        <v>243</v>
      </c>
      <c r="F89" s="20" t="s">
        <v>244</v>
      </c>
      <c r="G89" s="20" t="s">
        <v>245</v>
      </c>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x14ac:dyDescent="0.25">
      <c r="A90" s="20"/>
      <c r="B90" s="20">
        <v>2015</v>
      </c>
      <c r="C90" s="20">
        <f>(1+B17)^4.5</f>
        <v>1.0932028945361931</v>
      </c>
      <c r="D90" s="20">
        <f>C90*C81</f>
        <v>1458.716177228614</v>
      </c>
      <c r="E90" s="20">
        <f>(1+B18)^4.5</f>
        <v>1.1422666868245983</v>
      </c>
      <c r="F90" s="20">
        <f>E90*D60*C60</f>
        <v>2257.1189731654063</v>
      </c>
      <c r="G90" s="20">
        <f>D90/F90</f>
        <v>0.64627349934633527</v>
      </c>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x14ac:dyDescent="0.25">
      <c r="A91" s="20"/>
      <c r="B91" s="20">
        <v>2016</v>
      </c>
      <c r="C91" s="20">
        <f>(1+B17)^3.5</f>
        <v>1.0717675436629344</v>
      </c>
      <c r="D91" s="20">
        <f t="shared" ref="D91:D92" si="5">C91*C82</f>
        <v>1571.2723828147866</v>
      </c>
      <c r="E91" s="20">
        <f>(1+B18)^3.5</f>
        <v>1.1089967833248526</v>
      </c>
      <c r="F91" s="20">
        <f>E91*C61*D61</f>
        <v>2392.784701454339</v>
      </c>
      <c r="G91" s="20">
        <f t="shared" ref="G91:G92" si="6">D91/F91</f>
        <v>0.65667102512807118</v>
      </c>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x14ac:dyDescent="0.25">
      <c r="A92" s="20"/>
      <c r="B92" s="20">
        <v>2017</v>
      </c>
      <c r="C92" s="20">
        <f>(1+B17)^2.5</f>
        <v>1.0507524937871906</v>
      </c>
      <c r="D92" s="20">
        <f t="shared" si="5"/>
        <v>1473.50776605396</v>
      </c>
      <c r="E92" s="20">
        <f>(1+B18)^2.5</f>
        <v>1.0766959061406336</v>
      </c>
      <c r="F92" s="20">
        <f>E92*C62*D62</f>
        <v>2271.9844048416844</v>
      </c>
      <c r="G92" s="20">
        <f t="shared" si="6"/>
        <v>0.64855540509602949</v>
      </c>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x14ac:dyDescent="0.25">
      <c r="A93" s="20"/>
      <c r="B93" s="20"/>
      <c r="C93" s="20"/>
      <c r="D93" s="20">
        <f>SUM(D90:D92)</f>
        <v>4503.4963260973609</v>
      </c>
      <c r="E93" s="20"/>
      <c r="F93" s="20">
        <f>SUM(F90:F92)</f>
        <v>6921.8880794614297</v>
      </c>
      <c r="G93" s="300">
        <f>D93/F93</f>
        <v>0.65061674999630503</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x14ac:dyDescent="0.25">
      <c r="A96" s="20"/>
      <c r="B96" s="300" t="s">
        <v>246</v>
      </c>
      <c r="C96" s="300"/>
      <c r="D96" s="300">
        <f>((G93*(1+B22))+B19)/(1-B20-B21)-1</f>
        <v>0.22486141922468694</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x14ac:dyDescent="0.25"/>
    <row r="202" spans="1:52" ht="14.85" hidden="1" customHeight="1" x14ac:dyDescent="0.25"/>
    <row r="203" spans="1:52" ht="14.85" hidden="1" customHeight="1" x14ac:dyDescent="0.25"/>
    <row r="204" spans="1:52" s="27" customFormat="1" ht="14.85" hidden="1"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x14ac:dyDescent="0.25"/>
    <row r="306" ht="0" hidden="1" customHeight="1" x14ac:dyDescent="0.25"/>
    <row r="307" ht="0" hidden="1" customHeight="1" x14ac:dyDescent="0.25"/>
    <row r="308" ht="0" hidden="1" customHeight="1" x14ac:dyDescent="0.25"/>
    <row r="309" ht="0" hidden="1" customHeight="1" x14ac:dyDescent="0.25"/>
  </sheetData>
  <conditionalFormatting sqref="B1">
    <cfRule type="cellIs" dxfId="177" priority="1" operator="equal">
      <formula>"Review Later"</formula>
    </cfRule>
    <cfRule type="cellIs" dxfId="176" priority="2" operator="equal">
      <formula>"Finished"</formula>
    </cfRule>
    <cfRule type="cellIs" dxfId="175" priority="3" operator="equal">
      <formula>"Incomplete"</formula>
    </cfRule>
  </conditionalFormatting>
  <pageMargins left="0.75" right="0.75" top="1" bottom="1" header="0.51180555555555496" footer="0.51180555555555496"/>
  <pageSetup firstPageNumber="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C309"/>
  <sheetViews>
    <sheetView zoomScaleNormal="100" zoomScalePageLayoutView="60" workbookViewId="0"/>
  </sheetViews>
  <sheetFormatPr defaultColWidth="0" defaultRowHeight="0" customHeight="1" zeroHeight="1" x14ac:dyDescent="0.25"/>
  <cols>
    <col min="1" max="1" width="11.6640625" style="21" customWidth="1"/>
    <col min="2" max="2" width="14.109375" style="21" customWidth="1"/>
    <col min="3" max="8" width="11.6640625" style="21" customWidth="1"/>
    <col min="9" max="12" width="10.6640625" style="21" customWidth="1"/>
    <col min="13" max="13" width="12.109375" style="21" customWidth="1"/>
    <col min="14" max="14" width="14.44140625" style="21" customWidth="1"/>
    <col min="15" max="52" width="10.6640625" style="21" customWidth="1"/>
    <col min="53" max="55" width="0" style="21" hidden="1" customWidth="1"/>
    <col min="56" max="16384" width="10.6640625" style="21" hidden="1"/>
  </cols>
  <sheetData>
    <row r="1" spans="1:52" ht="14.85" customHeight="1" thickBot="1" x14ac:dyDescent="0.3">
      <c r="A1" s="3">
        <v>8</v>
      </c>
      <c r="B1" s="4"/>
      <c r="C1" s="5"/>
      <c r="D1" s="246"/>
      <c r="E1" s="246"/>
      <c r="F1" s="246"/>
      <c r="G1" s="246"/>
      <c r="H1" s="246"/>
      <c r="I1" s="246"/>
      <c r="J1" s="246"/>
      <c r="K1" s="247"/>
      <c r="L1" s="20"/>
      <c r="M1" s="20"/>
      <c r="N1" s="20"/>
      <c r="O1" s="20"/>
      <c r="P1" s="20"/>
      <c r="Q1" s="20"/>
      <c r="R1" s="20"/>
      <c r="S1" s="20"/>
      <c r="T1" s="20"/>
      <c r="U1" s="20"/>
      <c r="V1" s="20"/>
      <c r="W1" s="20"/>
    </row>
    <row r="2" spans="1:52" ht="13.8" x14ac:dyDescent="0.2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x14ac:dyDescent="0.25">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x14ac:dyDescent="0.25">
      <c r="A4" s="250"/>
      <c r="B4" s="251" t="s">
        <v>193</v>
      </c>
      <c r="C4" s="248"/>
      <c r="D4" s="248"/>
      <c r="E4" s="248"/>
      <c r="F4" s="248"/>
      <c r="G4" s="248"/>
      <c r="H4" s="248"/>
      <c r="I4" s="248"/>
      <c r="J4" s="248"/>
      <c r="K4" s="249"/>
      <c r="L4" s="20"/>
      <c r="M4" s="20" t="s">
        <v>247</v>
      </c>
      <c r="N4" s="20"/>
      <c r="O4" s="20"/>
      <c r="P4" s="20"/>
      <c r="Q4" s="20"/>
      <c r="R4" s="20"/>
      <c r="S4" s="20"/>
      <c r="T4" s="20"/>
      <c r="U4" s="20"/>
      <c r="V4" s="20"/>
      <c r="W4" s="20"/>
    </row>
    <row r="5" spans="1:52" ht="14.85" customHeight="1" thickBot="1" x14ac:dyDescent="0.3">
      <c r="A5" s="250"/>
      <c r="B5" s="251"/>
      <c r="C5" s="248"/>
      <c r="D5" s="248"/>
      <c r="E5" s="248"/>
      <c r="F5" s="248"/>
      <c r="G5" s="248"/>
      <c r="H5" s="248"/>
      <c r="I5" s="248"/>
      <c r="J5" s="248"/>
      <c r="K5" s="249"/>
      <c r="L5" s="20"/>
      <c r="M5" s="20"/>
      <c r="N5" s="20"/>
      <c r="O5" s="20"/>
      <c r="P5" s="20"/>
      <c r="Q5" s="20"/>
      <c r="R5" s="20"/>
      <c r="S5" s="20"/>
      <c r="T5" s="20"/>
      <c r="U5" s="20"/>
      <c r="V5" s="20"/>
      <c r="W5" s="20"/>
    </row>
    <row r="6" spans="1:52" ht="27.75" customHeight="1" thickBot="1" x14ac:dyDescent="0.3">
      <c r="A6" s="250"/>
      <c r="B6" s="252" t="s">
        <v>194</v>
      </c>
      <c r="C6" s="253"/>
      <c r="D6" s="253"/>
      <c r="E6" s="254"/>
      <c r="F6" s="248"/>
      <c r="G6" s="248"/>
      <c r="H6" s="248"/>
      <c r="I6" s="248"/>
      <c r="J6" s="248"/>
      <c r="K6" s="249"/>
      <c r="L6" s="20"/>
      <c r="M6" s="252" t="s">
        <v>248</v>
      </c>
      <c r="N6" s="253"/>
      <c r="O6" s="253"/>
      <c r="P6" s="254"/>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x14ac:dyDescent="0.3">
      <c r="A7" s="250"/>
      <c r="B7" s="204" t="s">
        <v>90</v>
      </c>
      <c r="C7" s="255">
        <v>12</v>
      </c>
      <c r="D7" s="255">
        <v>24</v>
      </c>
      <c r="E7" s="256">
        <v>36</v>
      </c>
      <c r="F7" s="248"/>
      <c r="G7" s="248"/>
      <c r="H7" s="248"/>
      <c r="I7" s="248"/>
      <c r="J7" s="248"/>
      <c r="K7" s="249"/>
      <c r="L7" s="20"/>
      <c r="M7" s="204" t="s">
        <v>90</v>
      </c>
      <c r="N7" s="255">
        <v>12</v>
      </c>
      <c r="O7" s="255">
        <v>24</v>
      </c>
      <c r="P7" s="256">
        <v>36</v>
      </c>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x14ac:dyDescent="0.25">
      <c r="A8" s="250"/>
      <c r="B8" s="257">
        <v>2015</v>
      </c>
      <c r="C8" s="258">
        <v>1000</v>
      </c>
      <c r="D8" s="259">
        <v>1167.5</v>
      </c>
      <c r="E8" s="260">
        <v>1250</v>
      </c>
      <c r="F8" s="248"/>
      <c r="G8" s="248"/>
      <c r="H8" s="248"/>
      <c r="I8" s="248"/>
      <c r="J8" s="248"/>
      <c r="K8" s="249"/>
      <c r="L8" s="20"/>
      <c r="M8" s="257">
        <v>2015</v>
      </c>
      <c r="N8" s="258">
        <f>C8*1000</f>
        <v>1000000</v>
      </c>
      <c r="O8" s="258">
        <f>D8*1000</f>
        <v>1167500</v>
      </c>
      <c r="P8" s="258">
        <f>E8*1000</f>
        <v>1250000</v>
      </c>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x14ac:dyDescent="0.25">
      <c r="A9" s="250"/>
      <c r="B9" s="257">
        <v>2016</v>
      </c>
      <c r="C9" s="258">
        <v>1100</v>
      </c>
      <c r="D9" s="259">
        <v>1285</v>
      </c>
      <c r="E9" s="261"/>
      <c r="F9" s="248"/>
      <c r="G9" s="248"/>
      <c r="H9" s="248"/>
      <c r="I9" s="248"/>
      <c r="J9" s="248"/>
      <c r="K9" s="249"/>
      <c r="L9" s="20"/>
      <c r="M9" s="257">
        <v>2016</v>
      </c>
      <c r="N9" s="258">
        <f>C9*1000</f>
        <v>1100000</v>
      </c>
      <c r="O9" s="258">
        <f>D9*1000</f>
        <v>1285000</v>
      </c>
      <c r="P9" s="261"/>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x14ac:dyDescent="0.3">
      <c r="A10" s="250"/>
      <c r="B10" s="262">
        <v>2017</v>
      </c>
      <c r="C10" s="263">
        <v>1050</v>
      </c>
      <c r="D10" s="264"/>
      <c r="E10" s="265"/>
      <c r="F10" s="248"/>
      <c r="G10" s="248"/>
      <c r="H10" s="248"/>
      <c r="I10" s="248"/>
      <c r="J10" s="248"/>
      <c r="K10" s="249"/>
      <c r="L10" s="20"/>
      <c r="M10" s="262">
        <v>2017</v>
      </c>
      <c r="N10" s="258">
        <f>C10*1000</f>
        <v>1050000</v>
      </c>
      <c r="O10" s="264"/>
      <c r="P10" s="265"/>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thickBot="1" x14ac:dyDescent="0.3">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3.2" customHeight="1" thickBot="1" x14ac:dyDescent="0.3">
      <c r="A12" s="250"/>
      <c r="B12" s="204" t="s">
        <v>195</v>
      </c>
      <c r="C12" s="256" t="s">
        <v>196</v>
      </c>
      <c r="D12" s="248"/>
      <c r="E12" s="248"/>
      <c r="F12" s="248"/>
      <c r="G12" s="248"/>
      <c r="H12" s="248"/>
      <c r="I12" s="248"/>
      <c r="J12" s="248"/>
      <c r="K12" s="249"/>
      <c r="L12" s="20"/>
      <c r="M12" s="20" t="s">
        <v>249</v>
      </c>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thickBot="1" x14ac:dyDescent="0.3">
      <c r="A13" s="250"/>
      <c r="B13" s="266">
        <v>2015</v>
      </c>
      <c r="C13" s="260">
        <v>1900</v>
      </c>
      <c r="D13" s="248"/>
      <c r="E13" s="248"/>
      <c r="F13" s="248"/>
      <c r="G13" s="248"/>
      <c r="H13" s="248"/>
      <c r="I13" s="248"/>
      <c r="J13" s="248"/>
      <c r="K13" s="249"/>
      <c r="L13" s="20"/>
      <c r="M13" s="204" t="s">
        <v>90</v>
      </c>
      <c r="N13" s="303" t="s">
        <v>149</v>
      </c>
      <c r="O13" s="303" t="s">
        <v>150</v>
      </c>
      <c r="P13" s="303" t="s">
        <v>250</v>
      </c>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250"/>
      <c r="B14" s="266">
        <v>2016</v>
      </c>
      <c r="C14" s="260">
        <v>2085</v>
      </c>
      <c r="D14" s="248"/>
      <c r="E14" s="248"/>
      <c r="F14" s="248"/>
      <c r="G14" s="248"/>
      <c r="H14" s="248"/>
      <c r="I14" s="248"/>
      <c r="J14" s="248"/>
      <c r="K14" s="249"/>
      <c r="L14" s="20"/>
      <c r="M14" s="257">
        <v>2015</v>
      </c>
      <c r="N14" s="20">
        <f>O8/N8</f>
        <v>1.1675</v>
      </c>
      <c r="O14" s="20">
        <f>P8/O8</f>
        <v>1.0706638115631693</v>
      </c>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x14ac:dyDescent="0.3">
      <c r="A15" s="250"/>
      <c r="B15" s="267">
        <v>2017</v>
      </c>
      <c r="C15" s="268">
        <v>2100</v>
      </c>
      <c r="D15" s="248"/>
      <c r="E15" s="248"/>
      <c r="F15" s="248"/>
      <c r="G15" s="248"/>
      <c r="H15" s="248"/>
      <c r="I15" s="248"/>
      <c r="J15" s="248"/>
      <c r="K15" s="249"/>
      <c r="L15" s="20"/>
      <c r="M15" s="257">
        <v>2016</v>
      </c>
      <c r="N15" s="20">
        <f>O9/N9</f>
        <v>1.1681818181818182</v>
      </c>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x14ac:dyDescent="0.3">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x14ac:dyDescent="0.25">
      <c r="A17" s="269"/>
      <c r="B17" s="272">
        <v>0.02</v>
      </c>
      <c r="C17" s="273" t="s">
        <v>197</v>
      </c>
      <c r="D17" s="246"/>
      <c r="E17" s="246"/>
      <c r="F17" s="246"/>
      <c r="G17" s="246"/>
      <c r="H17" s="246"/>
      <c r="I17" s="247"/>
      <c r="J17" s="270"/>
      <c r="K17" s="271"/>
      <c r="L17" s="20"/>
      <c r="M17" s="20" t="s">
        <v>256</v>
      </c>
      <c r="N17" s="20">
        <f>AVERAGE(N14:N15)</f>
        <v>1.1678409090909092</v>
      </c>
      <c r="O17" s="20">
        <f>O14</f>
        <v>1.0706638115631693</v>
      </c>
      <c r="P17" s="20">
        <f>B25</f>
        <v>1.0669999999999999</v>
      </c>
      <c r="Q17" s="20"/>
      <c r="R17" s="20" t="s">
        <v>257</v>
      </c>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x14ac:dyDescent="0.25">
      <c r="A18" s="269"/>
      <c r="B18" s="274">
        <v>0.03</v>
      </c>
      <c r="C18" s="269" t="s">
        <v>198</v>
      </c>
      <c r="D18" s="270"/>
      <c r="E18" s="270"/>
      <c r="F18" s="270"/>
      <c r="G18" s="270"/>
      <c r="H18" s="270"/>
      <c r="I18" s="271"/>
      <c r="J18" s="270"/>
      <c r="K18" s="271"/>
      <c r="L18" s="20"/>
      <c r="M18" s="20" t="s">
        <v>258</v>
      </c>
      <c r="N18" s="20">
        <f>N17*O18</f>
        <v>1.3341394539614562</v>
      </c>
      <c r="O18" s="20">
        <f>O17*P18</f>
        <v>1.1423982869379015</v>
      </c>
      <c r="P18" s="20">
        <f>P17</f>
        <v>1.0669999999999999</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x14ac:dyDescent="0.25">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t="s">
        <v>251</v>
      </c>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thickBot="1" x14ac:dyDescent="0.3">
      <c r="A20" s="269"/>
      <c r="B20" s="275">
        <v>0.3</v>
      </c>
      <c r="C20" s="276" t="s">
        <v>200</v>
      </c>
      <c r="D20" s="270"/>
      <c r="E20" s="270"/>
      <c r="F20" s="270"/>
      <c r="G20" s="270"/>
      <c r="H20" s="270"/>
      <c r="I20" s="271"/>
      <c r="J20" s="270"/>
      <c r="K20" s="271"/>
      <c r="L20" s="20"/>
      <c r="M20" s="20"/>
      <c r="N20" s="20"/>
      <c r="O20" s="20"/>
      <c r="P20" s="20"/>
      <c r="Q20" s="20"/>
      <c r="R20" s="20"/>
      <c r="S20" s="20"/>
      <c r="T20" s="20"/>
      <c r="U20" s="20"/>
      <c r="V20" s="20" t="s">
        <v>259</v>
      </c>
      <c r="W20" s="20" t="s">
        <v>260</v>
      </c>
      <c r="X20" s="20"/>
      <c r="Y20" s="20" t="s">
        <v>252</v>
      </c>
      <c r="Z20" s="20" t="s">
        <v>253</v>
      </c>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thickBot="1" x14ac:dyDescent="0.3">
      <c r="A21" s="269"/>
      <c r="B21" s="275">
        <v>0.05</v>
      </c>
      <c r="C21" s="276" t="s">
        <v>201</v>
      </c>
      <c r="D21" s="270"/>
      <c r="E21" s="270"/>
      <c r="F21" s="270"/>
      <c r="G21" s="270"/>
      <c r="H21" s="270"/>
      <c r="I21" s="271"/>
      <c r="J21" s="270"/>
      <c r="K21" s="271"/>
      <c r="L21" s="20"/>
      <c r="M21" s="204" t="s">
        <v>90</v>
      </c>
      <c r="N21" s="20" t="s">
        <v>261</v>
      </c>
      <c r="O21" s="20" t="s">
        <v>155</v>
      </c>
      <c r="P21" s="20" t="s">
        <v>262</v>
      </c>
      <c r="Q21" s="20" t="s">
        <v>263</v>
      </c>
      <c r="R21" s="20" t="s">
        <v>264</v>
      </c>
      <c r="S21" s="20" t="s">
        <v>223</v>
      </c>
      <c r="T21" s="20" t="s">
        <v>265</v>
      </c>
      <c r="U21" s="20" t="s">
        <v>266</v>
      </c>
      <c r="V21" s="20" t="s">
        <v>267</v>
      </c>
      <c r="W21" s="20" t="s">
        <v>263</v>
      </c>
      <c r="X21" s="20" t="s">
        <v>254</v>
      </c>
      <c r="Y21" s="20" t="s">
        <v>232</v>
      </c>
      <c r="Z21" s="20" t="s">
        <v>255</v>
      </c>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x14ac:dyDescent="0.25">
      <c r="A22" s="269"/>
      <c r="B22" s="275">
        <v>7.0000000000000007E-2</v>
      </c>
      <c r="C22" s="276" t="s">
        <v>202</v>
      </c>
      <c r="D22" s="270"/>
      <c r="E22" s="270"/>
      <c r="F22" s="270"/>
      <c r="G22" s="270"/>
      <c r="H22" s="270"/>
      <c r="I22" s="271"/>
      <c r="J22" s="270"/>
      <c r="K22" s="271"/>
      <c r="L22" s="20"/>
      <c r="M22" s="257">
        <v>2015</v>
      </c>
      <c r="N22" s="302">
        <f>P8</f>
        <v>1250000</v>
      </c>
      <c r="O22" s="20">
        <f>P18</f>
        <v>1.0669999999999999</v>
      </c>
      <c r="P22" s="20">
        <f>(1+$B$17)^2</f>
        <v>1.0404</v>
      </c>
      <c r="Q22" s="302">
        <f>C13*1000</f>
        <v>1900000</v>
      </c>
      <c r="R22" s="20">
        <v>1</v>
      </c>
      <c r="S22" s="20">
        <f>1.04/R22</f>
        <v>1.04</v>
      </c>
      <c r="T22" s="20">
        <f>S22*Q22</f>
        <v>1976000</v>
      </c>
      <c r="U22" s="20">
        <f>(1+$B$18)^2</f>
        <v>1.0609</v>
      </c>
      <c r="V22" s="20">
        <f>N22*P22</f>
        <v>1300500</v>
      </c>
      <c r="W22" s="20">
        <f>T22*U22</f>
        <v>2096338.4</v>
      </c>
      <c r="X22" s="20">
        <f>1/O22</f>
        <v>0.93720712277413309</v>
      </c>
      <c r="Y22" s="20">
        <f>Y23*1.03/(1.02)</f>
        <v>0.67981693345787464</v>
      </c>
      <c r="Z22" s="20">
        <f>N22+(1-1/O22)*T22*Y22</f>
        <v>1334350.8186076428</v>
      </c>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x14ac:dyDescent="0.3">
      <c r="A23" s="269"/>
      <c r="B23" s="277">
        <v>0.04</v>
      </c>
      <c r="C23" s="278" t="s">
        <v>203</v>
      </c>
      <c r="D23" s="279"/>
      <c r="E23" s="279"/>
      <c r="F23" s="279"/>
      <c r="G23" s="279"/>
      <c r="H23" s="279"/>
      <c r="I23" s="280"/>
      <c r="J23" s="270"/>
      <c r="K23" s="271"/>
      <c r="L23" s="20"/>
      <c r="M23" s="257">
        <v>2016</v>
      </c>
      <c r="N23" s="302">
        <f>O9</f>
        <v>1285000</v>
      </c>
      <c r="O23" s="20">
        <f>O18</f>
        <v>1.1423982869379015</v>
      </c>
      <c r="P23" s="20">
        <f>(1+$B$17)^1</f>
        <v>1.02</v>
      </c>
      <c r="Q23" s="302">
        <f>C14*1000</f>
        <v>2085000</v>
      </c>
      <c r="R23" s="20">
        <f>0.5*0.5*0.5*1.04+(1-0.5^3)*1</f>
        <v>1.0049999999999999</v>
      </c>
      <c r="S23" s="20">
        <f>1.04/R23</f>
        <v>1.0348258706467663</v>
      </c>
      <c r="T23" s="20">
        <f>S23*Q23</f>
        <v>2157611.9402985079</v>
      </c>
      <c r="U23" s="20">
        <f>(1+$B$18)^1</f>
        <v>1.03</v>
      </c>
      <c r="V23" s="20">
        <f>N23*P23</f>
        <v>1310700</v>
      </c>
      <c r="W23" s="20">
        <f>T23*U23</f>
        <v>2222340.2985074632</v>
      </c>
      <c r="X23" s="20">
        <f>1/O23</f>
        <v>0.87535145267104031</v>
      </c>
      <c r="Y23" s="20">
        <f>Y24*1.03/(1.02)</f>
        <v>0.67321676905537109</v>
      </c>
      <c r="Z23" s="20">
        <f>N23+(1-1/O23)*T23*Y23</f>
        <v>1466057.068163042</v>
      </c>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x14ac:dyDescent="0.3">
      <c r="A24" s="269"/>
      <c r="B24" s="270"/>
      <c r="C24" s="270"/>
      <c r="D24" s="270"/>
      <c r="E24" s="270"/>
      <c r="F24" s="270"/>
      <c r="G24" s="270"/>
      <c r="H24" s="270"/>
      <c r="I24" s="270"/>
      <c r="J24" s="270"/>
      <c r="K24" s="271"/>
      <c r="L24" s="20"/>
      <c r="M24" s="262">
        <v>2017</v>
      </c>
      <c r="N24" s="302">
        <f>N10</f>
        <v>1050000</v>
      </c>
      <c r="O24" s="20">
        <f>N18</f>
        <v>1.3341394539614562</v>
      </c>
      <c r="P24" s="20">
        <v>1</v>
      </c>
      <c r="Q24" s="302">
        <f>C15*1000</f>
        <v>2100000</v>
      </c>
      <c r="R24" s="20">
        <f>0.5*0.5*0.5*1+(1-0.5^3)*1.04</f>
        <v>1.0350000000000001</v>
      </c>
      <c r="S24" s="20">
        <f>1.04/R24</f>
        <v>1.0048309178743959</v>
      </c>
      <c r="T24" s="20">
        <f>S24*Q24</f>
        <v>2110144.9275362315</v>
      </c>
      <c r="U24" s="20">
        <f>(1+$B$18)^0</f>
        <v>1</v>
      </c>
      <c r="V24" s="20">
        <f>N24*P24</f>
        <v>1050000</v>
      </c>
      <c r="W24" s="20">
        <f>T24*U24</f>
        <v>2110144.9275362315</v>
      </c>
      <c r="X24" s="20">
        <f>1/O24</f>
        <v>0.74954683112826259</v>
      </c>
      <c r="Y24" s="20">
        <f>W26</f>
        <v>0.66668068391891122</v>
      </c>
      <c r="Z24" s="20">
        <f>N24+(1-1/O24)*T24*Y24</f>
        <v>1402335.7305991706</v>
      </c>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x14ac:dyDescent="0.3">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x14ac:dyDescent="0.25">
      <c r="A26" s="250"/>
      <c r="B26" s="251"/>
      <c r="C26" s="248"/>
      <c r="D26" s="248"/>
      <c r="E26" s="248"/>
      <c r="F26" s="248"/>
      <c r="G26" s="248"/>
      <c r="H26" s="248"/>
      <c r="I26" s="248"/>
      <c r="J26" s="248"/>
      <c r="K26" s="249"/>
      <c r="L26" s="20"/>
      <c r="M26" s="20"/>
      <c r="N26" s="20"/>
      <c r="O26" s="20"/>
      <c r="P26" s="20"/>
      <c r="Q26" s="20"/>
      <c r="R26" s="20"/>
      <c r="S26" s="20"/>
      <c r="T26" s="20"/>
      <c r="U26" s="20"/>
      <c r="V26" s="304" t="s">
        <v>268</v>
      </c>
      <c r="W26" s="20">
        <f>SUM(V22:V24)/SUMPRODUCT(X22:X24,W22:W24)</f>
        <v>0.66668068391891122</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x14ac:dyDescent="0.25">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x14ac:dyDescent="0.25">
      <c r="A28" s="269"/>
      <c r="B28" s="251" t="s">
        <v>206</v>
      </c>
      <c r="C28" s="270"/>
      <c r="D28" s="270"/>
      <c r="E28" s="270"/>
      <c r="F28" s="270"/>
      <c r="G28" s="270"/>
      <c r="H28" s="270"/>
      <c r="I28" s="270"/>
      <c r="J28" s="270"/>
      <c r="K28" s="271"/>
      <c r="L28" s="20"/>
      <c r="M28" s="20" t="s">
        <v>0</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x14ac:dyDescent="0.25">
      <c r="A29" s="250"/>
      <c r="B29" s="251" t="s">
        <v>207</v>
      </c>
      <c r="C29" s="248"/>
      <c r="D29" s="248"/>
      <c r="E29" s="248"/>
      <c r="F29" s="248"/>
      <c r="G29" s="248"/>
      <c r="H29" s="248"/>
      <c r="I29" s="248"/>
      <c r="J29" s="248"/>
      <c r="K29" s="249"/>
      <c r="L29" s="20"/>
      <c r="M29" s="300" t="s">
        <v>240</v>
      </c>
      <c r="N29" s="300" t="s">
        <v>269</v>
      </c>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x14ac:dyDescent="0.25">
      <c r="A30" s="250"/>
      <c r="B30" s="201" t="s">
        <v>208</v>
      </c>
      <c r="C30" s="248"/>
      <c r="D30" s="248"/>
      <c r="E30" s="248"/>
      <c r="F30" s="248"/>
      <c r="G30" s="248"/>
      <c r="H30" s="248"/>
      <c r="I30" s="248"/>
      <c r="J30" s="248"/>
      <c r="K30" s="249"/>
      <c r="L30" s="20"/>
      <c r="M30" s="300">
        <v>2015</v>
      </c>
      <c r="N30" s="305">
        <f>Z22</f>
        <v>1334350.8186076428</v>
      </c>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x14ac:dyDescent="0.25">
      <c r="A31" s="250"/>
      <c r="B31" s="251"/>
      <c r="C31" s="248"/>
      <c r="D31" s="248"/>
      <c r="E31" s="248"/>
      <c r="F31" s="248"/>
      <c r="G31" s="248"/>
      <c r="H31" s="248"/>
      <c r="I31" s="248"/>
      <c r="J31" s="248"/>
      <c r="K31" s="249"/>
      <c r="L31" s="20"/>
      <c r="M31" s="300">
        <f>M30+1</f>
        <v>2016</v>
      </c>
      <c r="N31" s="305">
        <f>Z23</f>
        <v>1466057.068163042</v>
      </c>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x14ac:dyDescent="0.25">
      <c r="A32" s="198">
        <v>4.25</v>
      </c>
      <c r="B32" s="251" t="s">
        <v>0</v>
      </c>
      <c r="C32" s="248"/>
      <c r="D32" s="248"/>
      <c r="E32" s="248"/>
      <c r="F32" s="248"/>
      <c r="G32" s="248"/>
      <c r="H32" s="248"/>
      <c r="I32" s="248"/>
      <c r="J32" s="248"/>
      <c r="K32" s="249"/>
      <c r="L32" s="20"/>
      <c r="M32" s="300">
        <f>M31+1</f>
        <v>2017</v>
      </c>
      <c r="N32" s="305">
        <f>Z24</f>
        <v>1402335.7305991706</v>
      </c>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x14ac:dyDescent="0.25">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x14ac:dyDescent="0.25">
      <c r="A34" s="250"/>
      <c r="B34" s="251" t="s">
        <v>210</v>
      </c>
      <c r="C34" s="248"/>
      <c r="D34" s="248"/>
      <c r="E34" s="248"/>
      <c r="F34" s="248"/>
      <c r="G34" s="248"/>
      <c r="H34" s="248"/>
      <c r="I34" s="248"/>
      <c r="J34" s="248"/>
      <c r="K34" s="249"/>
      <c r="L34" s="20"/>
      <c r="M34" s="20" t="s">
        <v>1</v>
      </c>
      <c r="N34" s="20"/>
      <c r="O34" s="20"/>
      <c r="P34" s="20"/>
      <c r="Q34" s="20" t="s">
        <v>270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x14ac:dyDescent="0.25">
      <c r="A35" s="250"/>
      <c r="B35" s="251"/>
      <c r="C35" s="248"/>
      <c r="D35" s="248"/>
      <c r="E35" s="248"/>
      <c r="F35" s="248"/>
      <c r="G35" s="248"/>
      <c r="H35" s="248"/>
      <c r="I35" s="248"/>
      <c r="J35" s="248"/>
      <c r="K35" s="249"/>
      <c r="L35" s="20"/>
      <c r="M35" s="20"/>
      <c r="N35" s="20"/>
      <c r="O35" s="20"/>
      <c r="P35" s="20"/>
      <c r="Q35" s="20" t="s">
        <v>271</v>
      </c>
      <c r="R35" s="20" t="s">
        <v>271</v>
      </c>
      <c r="S35" s="20" t="s">
        <v>272</v>
      </c>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x14ac:dyDescent="0.25">
      <c r="A36" s="198">
        <v>2.25</v>
      </c>
      <c r="B36" s="251" t="s">
        <v>1</v>
      </c>
      <c r="C36" s="248"/>
      <c r="D36" s="248"/>
      <c r="E36" s="248"/>
      <c r="F36" s="248"/>
      <c r="G36" s="248"/>
      <c r="H36" s="248"/>
      <c r="I36" s="248"/>
      <c r="J36" s="248"/>
      <c r="K36" s="249"/>
      <c r="L36" s="20"/>
      <c r="M36" s="20" t="s">
        <v>240</v>
      </c>
      <c r="N36" s="20" t="s">
        <v>273</v>
      </c>
      <c r="O36" s="20" t="s">
        <v>265</v>
      </c>
      <c r="P36" s="20" t="s">
        <v>245</v>
      </c>
      <c r="Q36" s="20" t="s">
        <v>274</v>
      </c>
      <c r="R36" s="20" t="s">
        <v>275</v>
      </c>
      <c r="S36" s="20" t="s">
        <v>245</v>
      </c>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x14ac:dyDescent="0.25">
      <c r="A37" s="250"/>
      <c r="B37" s="251" t="s">
        <v>211</v>
      </c>
      <c r="C37" s="248"/>
      <c r="D37" s="248"/>
      <c r="E37" s="248"/>
      <c r="F37" s="248"/>
      <c r="G37" s="248"/>
      <c r="H37" s="248"/>
      <c r="I37" s="248"/>
      <c r="J37" s="248"/>
      <c r="K37" s="249"/>
      <c r="L37" s="20"/>
      <c r="M37" s="20">
        <v>2015</v>
      </c>
      <c r="N37" s="306">
        <f>N30</f>
        <v>1334350.8186076428</v>
      </c>
      <c r="O37" s="20">
        <f>T22</f>
        <v>1976000</v>
      </c>
      <c r="P37" s="307">
        <f>N37/O37</f>
        <v>0.67527875435609452</v>
      </c>
      <c r="Q37" s="20">
        <f>((1+$B$17)/(1+$B$18))^R37</f>
        <v>0.95704699011681926</v>
      </c>
      <c r="R37" s="20">
        <v>4.5</v>
      </c>
      <c r="S37" s="308">
        <f>P37*Q37</f>
        <v>0.64627349934633527</v>
      </c>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x14ac:dyDescent="0.25">
      <c r="A38" s="250"/>
      <c r="B38" s="251" t="s">
        <v>212</v>
      </c>
      <c r="C38" s="248"/>
      <c r="D38" s="248"/>
      <c r="E38" s="248"/>
      <c r="F38" s="248"/>
      <c r="G38" s="248"/>
      <c r="H38" s="248"/>
      <c r="I38" s="248"/>
      <c r="J38" s="248"/>
      <c r="K38" s="249"/>
      <c r="L38" s="20"/>
      <c r="M38" s="20">
        <f>M37+1</f>
        <v>2016</v>
      </c>
      <c r="N38" s="306">
        <f>N31</f>
        <v>1466057.068163042</v>
      </c>
      <c r="O38" s="20">
        <f>T23</f>
        <v>2157611.9402985079</v>
      </c>
      <c r="P38" s="307">
        <f>N38/O38</f>
        <v>0.67948134730854859</v>
      </c>
      <c r="Q38" s="20">
        <f>((1+$B$17)/(1+$B$18))^R38</f>
        <v>0.96642980374541554</v>
      </c>
      <c r="R38" s="20">
        <f>R37-1</f>
        <v>3.5</v>
      </c>
      <c r="S38" s="308">
        <f>P38*Q38</f>
        <v>0.65667102512807118</v>
      </c>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x14ac:dyDescent="0.3">
      <c r="A39" s="285"/>
      <c r="B39" s="286"/>
      <c r="C39" s="287"/>
      <c r="D39" s="287"/>
      <c r="E39" s="287"/>
      <c r="F39" s="287"/>
      <c r="G39" s="287"/>
      <c r="H39" s="287"/>
      <c r="I39" s="287"/>
      <c r="J39" s="287"/>
      <c r="K39" s="288"/>
      <c r="L39" s="20"/>
      <c r="M39" s="20">
        <f>M38+1</f>
        <v>2017</v>
      </c>
      <c r="N39" s="306">
        <f>N32</f>
        <v>1402335.7305991706</v>
      </c>
      <c r="O39" s="20">
        <f>T24</f>
        <v>2110144.9275362315</v>
      </c>
      <c r="P39" s="307">
        <f>N39/O39</f>
        <v>0.66456844375922242</v>
      </c>
      <c r="Q39" s="20">
        <f>((1+$B$17)/(1+$B$18))^R39</f>
        <v>0.9759046057429196</v>
      </c>
      <c r="R39" s="20">
        <f>R38-1</f>
        <v>2.5</v>
      </c>
      <c r="S39" s="308">
        <f>P39*Q39</f>
        <v>0.6485554050960296</v>
      </c>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x14ac:dyDescent="0.25">
      <c r="A41" s="20"/>
      <c r="B41" s="20"/>
      <c r="C41" s="20"/>
      <c r="D41" s="20"/>
      <c r="E41" s="20"/>
      <c r="F41" s="20"/>
      <c r="G41" s="20"/>
      <c r="H41" s="20"/>
      <c r="I41" s="20"/>
      <c r="J41" s="20"/>
      <c r="K41" s="20"/>
      <c r="L41" s="20"/>
      <c r="M41" s="20"/>
      <c r="N41" s="20"/>
      <c r="O41" s="20"/>
      <c r="P41" s="20"/>
      <c r="Q41" s="20"/>
      <c r="R41" s="20"/>
      <c r="S41" s="20" t="s">
        <v>276</v>
      </c>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x14ac:dyDescent="0.25">
      <c r="A43" s="20"/>
      <c r="B43" s="20"/>
      <c r="C43" s="20"/>
      <c r="D43" s="20"/>
      <c r="E43" s="20"/>
      <c r="F43" s="20"/>
      <c r="G43" s="20"/>
      <c r="H43" s="20"/>
      <c r="I43" s="20"/>
      <c r="J43" s="20"/>
      <c r="K43" s="20"/>
      <c r="L43" s="20"/>
      <c r="M43" s="20"/>
      <c r="N43" s="20"/>
      <c r="O43" s="20"/>
      <c r="P43" s="20"/>
      <c r="Q43" s="20"/>
      <c r="R43" s="304" t="s">
        <v>277</v>
      </c>
      <c r="S43" s="309">
        <f>AVERAGE(S37:S39)</f>
        <v>0.65049997652347868</v>
      </c>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x14ac:dyDescent="0.25">
      <c r="A44" s="20"/>
      <c r="B44" s="20"/>
      <c r="C44" s="20"/>
      <c r="D44" s="20"/>
      <c r="E44" s="20"/>
      <c r="F44" s="20"/>
      <c r="G44" s="20"/>
      <c r="H44" s="20"/>
      <c r="I44" s="20"/>
      <c r="J44" s="20"/>
      <c r="K44" s="20"/>
      <c r="L44" s="20"/>
      <c r="M44" s="20"/>
      <c r="N44" s="20"/>
      <c r="O44" s="20"/>
      <c r="P44" s="20"/>
      <c r="Q44" s="20"/>
      <c r="R44" s="304" t="s">
        <v>278</v>
      </c>
      <c r="S44" s="20">
        <f>S43*(1+B22)</f>
        <v>0.69603497488012223</v>
      </c>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x14ac:dyDescent="0.25">
      <c r="A45" s="20"/>
      <c r="B45" s="20"/>
      <c r="C45" s="20"/>
      <c r="D45" s="20"/>
      <c r="E45" s="20"/>
      <c r="F45" s="20"/>
      <c r="G45" s="20"/>
      <c r="H45" s="20"/>
      <c r="I45" s="20"/>
      <c r="J45" s="20"/>
      <c r="K45" s="20"/>
      <c r="L45" s="20"/>
      <c r="M45" s="20"/>
      <c r="N45" s="20"/>
      <c r="O45" s="20"/>
      <c r="P45" s="20"/>
      <c r="Q45" s="20"/>
      <c r="R45" s="310" t="s">
        <v>279</v>
      </c>
      <c r="S45" s="311">
        <f>SUM(S44,B19)/(1-B20-B21)-1</f>
        <v>0.22466919212326508</v>
      </c>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x14ac:dyDescent="0.25"/>
    <row r="202" spans="1:52" ht="14.85" hidden="1" customHeight="1" x14ac:dyDescent="0.25"/>
    <row r="203" spans="1:52" ht="14.85" hidden="1" customHeight="1" x14ac:dyDescent="0.25"/>
    <row r="204" spans="1:52" s="27" customFormat="1" ht="14.85" hidden="1"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x14ac:dyDescent="0.25"/>
    <row r="306" ht="0" hidden="1" customHeight="1" x14ac:dyDescent="0.25"/>
    <row r="307" ht="0" hidden="1" customHeight="1" x14ac:dyDescent="0.25"/>
    <row r="308" ht="0" hidden="1" customHeight="1" x14ac:dyDescent="0.25"/>
    <row r="309" ht="0" hidden="1" customHeight="1" x14ac:dyDescent="0.25"/>
  </sheetData>
  <conditionalFormatting sqref="B1">
    <cfRule type="cellIs" dxfId="174" priority="1" operator="equal">
      <formula>"Review Later"</formula>
    </cfRule>
    <cfRule type="cellIs" dxfId="173" priority="2" operator="equal">
      <formula>"Finished"</formula>
    </cfRule>
    <cfRule type="cellIs" dxfId="172" priority="3" operator="equal">
      <formula>"Incomplete"</formula>
    </cfRule>
  </conditionalFormatting>
  <pageMargins left="0.75" right="0.75" top="1" bottom="1" header="0.51180555555555496" footer="0.51180555555555496"/>
  <pageSetup firstPageNumber="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C309"/>
  <sheetViews>
    <sheetView zoomScaleNormal="100" workbookViewId="0"/>
  </sheetViews>
  <sheetFormatPr defaultColWidth="0" defaultRowHeight="0" customHeight="1" zeroHeight="1" x14ac:dyDescent="0.25"/>
  <cols>
    <col min="1" max="1" width="11.6640625" style="21" customWidth="1"/>
    <col min="2" max="2" width="14.109375" style="21" customWidth="1"/>
    <col min="3" max="8" width="11.6640625" style="21" customWidth="1"/>
    <col min="9" max="52" width="10.6640625" style="21" customWidth="1"/>
    <col min="53" max="55" width="0" style="21" hidden="1" customWidth="1"/>
    <col min="56" max="16384" width="10.6640625" style="21" hidden="1"/>
  </cols>
  <sheetData>
    <row r="1" spans="1:52" ht="14.85" customHeight="1" thickBot="1" x14ac:dyDescent="0.3">
      <c r="A1" s="3">
        <v>8</v>
      </c>
      <c r="B1" s="4"/>
      <c r="C1" s="5"/>
      <c r="D1" s="246"/>
      <c r="E1" s="246"/>
      <c r="F1" s="246"/>
      <c r="G1" s="246"/>
      <c r="H1" s="246"/>
      <c r="I1" s="246"/>
      <c r="J1" s="246"/>
      <c r="K1" s="247"/>
      <c r="L1" s="20"/>
      <c r="M1" s="20"/>
      <c r="N1" s="20"/>
      <c r="O1" s="20"/>
      <c r="P1" s="20"/>
      <c r="Q1" s="20"/>
      <c r="R1" s="20"/>
      <c r="S1" s="20"/>
      <c r="T1" s="20"/>
      <c r="U1" s="20"/>
      <c r="V1" s="20"/>
      <c r="W1" s="20"/>
    </row>
    <row r="2" spans="1:52" ht="13.8" x14ac:dyDescent="0.2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x14ac:dyDescent="0.25">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x14ac:dyDescent="0.25">
      <c r="A4" s="250"/>
      <c r="B4" s="251" t="s">
        <v>193</v>
      </c>
      <c r="C4" s="248"/>
      <c r="D4" s="248"/>
      <c r="E4" s="248"/>
      <c r="F4" s="248"/>
      <c r="G4" s="248"/>
      <c r="H4" s="248"/>
      <c r="I4" s="248"/>
      <c r="J4" s="248"/>
      <c r="K4" s="249"/>
      <c r="L4" s="20"/>
      <c r="M4" s="20"/>
      <c r="N4" s="20"/>
      <c r="O4" s="20"/>
      <c r="P4" s="20"/>
      <c r="Q4" s="20"/>
      <c r="R4" s="20"/>
      <c r="S4" s="20"/>
      <c r="T4" s="20"/>
      <c r="U4" s="20"/>
      <c r="V4" s="20"/>
      <c r="W4" s="20"/>
    </row>
    <row r="5" spans="1:52" ht="14.85" customHeight="1" thickBot="1" x14ac:dyDescent="0.3">
      <c r="A5" s="250"/>
      <c r="B5" s="251"/>
      <c r="C5" s="248"/>
      <c r="D5" s="248"/>
      <c r="E5" s="248"/>
      <c r="F5" s="248"/>
      <c r="G5" s="248"/>
      <c r="H5" s="248"/>
      <c r="I5" s="248"/>
      <c r="J5" s="248"/>
      <c r="K5" s="249"/>
      <c r="L5" s="20"/>
      <c r="M5" s="20"/>
      <c r="N5" s="20"/>
      <c r="O5" s="20"/>
      <c r="P5" s="20"/>
      <c r="Q5" s="20"/>
      <c r="R5" s="20"/>
      <c r="S5" s="20"/>
      <c r="T5" s="20"/>
      <c r="U5" s="20"/>
      <c r="V5" s="20"/>
      <c r="W5" s="20"/>
    </row>
    <row r="6" spans="1:52" ht="28.2" customHeight="1" thickBot="1" x14ac:dyDescent="0.3">
      <c r="A6" s="250"/>
      <c r="B6" s="252" t="s">
        <v>194</v>
      </c>
      <c r="C6" s="253"/>
      <c r="D6" s="253"/>
      <c r="E6" s="254"/>
      <c r="F6" s="248"/>
      <c r="G6" s="248"/>
      <c r="H6" s="248"/>
      <c r="I6" s="248"/>
      <c r="J6" s="248"/>
      <c r="K6" s="249"/>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x14ac:dyDescent="0.3">
      <c r="A7" s="250"/>
      <c r="B7" s="204" t="s">
        <v>90</v>
      </c>
      <c r="C7" s="255">
        <v>12</v>
      </c>
      <c r="D7" s="255">
        <v>24</v>
      </c>
      <c r="E7" s="256">
        <v>36</v>
      </c>
      <c r="F7" s="248"/>
      <c r="G7" s="248"/>
      <c r="H7" s="248"/>
      <c r="I7" s="248"/>
      <c r="J7" s="248"/>
      <c r="K7" s="249"/>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x14ac:dyDescent="0.25">
      <c r="A8" s="250"/>
      <c r="B8" s="257">
        <v>2015</v>
      </c>
      <c r="C8" s="258">
        <v>1000</v>
      </c>
      <c r="D8" s="259">
        <v>1167.5</v>
      </c>
      <c r="E8" s="260">
        <v>1250</v>
      </c>
      <c r="F8" s="248"/>
      <c r="G8" s="248"/>
      <c r="H8" s="248"/>
      <c r="I8" s="248"/>
      <c r="J8" s="248"/>
      <c r="K8" s="249"/>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x14ac:dyDescent="0.25">
      <c r="A9" s="250"/>
      <c r="B9" s="257">
        <v>2016</v>
      </c>
      <c r="C9" s="258">
        <v>1100</v>
      </c>
      <c r="D9" s="259">
        <v>1285</v>
      </c>
      <c r="E9" s="261"/>
      <c r="F9" s="248"/>
      <c r="G9" s="248"/>
      <c r="H9" s="248"/>
      <c r="I9" s="248"/>
      <c r="J9" s="248"/>
      <c r="K9" s="249"/>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x14ac:dyDescent="0.3">
      <c r="A10" s="250"/>
      <c r="B10" s="262">
        <v>2017</v>
      </c>
      <c r="C10" s="263">
        <v>1050</v>
      </c>
      <c r="D10" s="264"/>
      <c r="E10" s="265"/>
      <c r="F10" s="248"/>
      <c r="G10" s="248"/>
      <c r="H10" s="248"/>
      <c r="I10" s="248"/>
      <c r="J10" s="248"/>
      <c r="K10" s="249"/>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thickBot="1" x14ac:dyDescent="0.3">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4.4" customHeight="1" thickBot="1" x14ac:dyDescent="0.3">
      <c r="A12" s="250"/>
      <c r="B12" s="204" t="s">
        <v>195</v>
      </c>
      <c r="C12" s="256" t="s">
        <v>196</v>
      </c>
      <c r="D12" s="248"/>
      <c r="E12" s="248"/>
      <c r="F12" s="248"/>
      <c r="G12" s="248"/>
      <c r="H12" s="248"/>
      <c r="I12" s="248"/>
      <c r="J12" s="248"/>
      <c r="K12" s="249"/>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x14ac:dyDescent="0.25">
      <c r="A13" s="250"/>
      <c r="B13" s="266">
        <v>2015</v>
      </c>
      <c r="C13" s="260">
        <v>1900</v>
      </c>
      <c r="D13" s="248"/>
      <c r="E13" s="248"/>
      <c r="F13" s="248"/>
      <c r="G13" s="248"/>
      <c r="H13" s="248"/>
      <c r="I13" s="248"/>
      <c r="J13" s="248"/>
      <c r="K13" s="249"/>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250"/>
      <c r="B14" s="266">
        <v>2016</v>
      </c>
      <c r="C14" s="260">
        <v>2085</v>
      </c>
      <c r="D14" s="248"/>
      <c r="E14" s="248"/>
      <c r="F14" s="248"/>
      <c r="G14" s="248"/>
      <c r="H14" s="248"/>
      <c r="I14" s="248"/>
      <c r="J14" s="248"/>
      <c r="K14" s="249"/>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x14ac:dyDescent="0.3">
      <c r="A15" s="250"/>
      <c r="B15" s="267">
        <v>2017</v>
      </c>
      <c r="C15" s="268">
        <v>2100</v>
      </c>
      <c r="D15" s="248"/>
      <c r="E15" s="248"/>
      <c r="F15" s="248"/>
      <c r="G15" s="248"/>
      <c r="H15" s="248"/>
      <c r="I15" s="248"/>
      <c r="J15" s="248"/>
      <c r="K15" s="249"/>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x14ac:dyDescent="0.3">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x14ac:dyDescent="0.25">
      <c r="A17" s="269"/>
      <c r="B17" s="272">
        <v>0.02</v>
      </c>
      <c r="C17" s="273" t="s">
        <v>197</v>
      </c>
      <c r="D17" s="246"/>
      <c r="E17" s="246"/>
      <c r="F17" s="246"/>
      <c r="G17" s="246"/>
      <c r="H17" s="246"/>
      <c r="I17" s="247"/>
      <c r="J17" s="270"/>
      <c r="K17" s="271"/>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x14ac:dyDescent="0.25">
      <c r="A18" s="269"/>
      <c r="B18" s="274">
        <v>0.03</v>
      </c>
      <c r="C18" s="269" t="s">
        <v>198</v>
      </c>
      <c r="D18" s="270"/>
      <c r="E18" s="270"/>
      <c r="F18" s="270"/>
      <c r="G18" s="270"/>
      <c r="H18" s="270"/>
      <c r="I18" s="271"/>
      <c r="J18" s="270"/>
      <c r="K18" s="271"/>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x14ac:dyDescent="0.25">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x14ac:dyDescent="0.25">
      <c r="A20" s="269"/>
      <c r="B20" s="275">
        <v>0.3</v>
      </c>
      <c r="C20" s="276" t="s">
        <v>200</v>
      </c>
      <c r="D20" s="270"/>
      <c r="E20" s="270"/>
      <c r="F20" s="270"/>
      <c r="G20" s="270"/>
      <c r="H20" s="270"/>
      <c r="I20" s="271"/>
      <c r="J20" s="270"/>
      <c r="K20" s="271"/>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x14ac:dyDescent="0.25">
      <c r="A21" s="269"/>
      <c r="B21" s="275">
        <v>0.05</v>
      </c>
      <c r="C21" s="276" t="s">
        <v>201</v>
      </c>
      <c r="D21" s="270"/>
      <c r="E21" s="270"/>
      <c r="F21" s="270"/>
      <c r="G21" s="270"/>
      <c r="H21" s="270"/>
      <c r="I21" s="271"/>
      <c r="J21" s="270"/>
      <c r="K21" s="271"/>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x14ac:dyDescent="0.25">
      <c r="A22" s="269"/>
      <c r="B22" s="275">
        <v>7.0000000000000007E-2</v>
      </c>
      <c r="C22" s="276" t="s">
        <v>202</v>
      </c>
      <c r="D22" s="270"/>
      <c r="E22" s="270"/>
      <c r="F22" s="270"/>
      <c r="G22" s="270"/>
      <c r="H22" s="270"/>
      <c r="I22" s="271"/>
      <c r="J22" s="270"/>
      <c r="K22" s="271"/>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x14ac:dyDescent="0.3">
      <c r="A23" s="269"/>
      <c r="B23" s="277">
        <v>0.04</v>
      </c>
      <c r="C23" s="278" t="s">
        <v>203</v>
      </c>
      <c r="D23" s="279"/>
      <c r="E23" s="279"/>
      <c r="F23" s="279"/>
      <c r="G23" s="279"/>
      <c r="H23" s="279"/>
      <c r="I23" s="280"/>
      <c r="J23" s="270"/>
      <c r="K23" s="271"/>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x14ac:dyDescent="0.3">
      <c r="A24" s="269"/>
      <c r="B24" s="270"/>
      <c r="C24" s="270"/>
      <c r="D24" s="270"/>
      <c r="E24" s="270"/>
      <c r="F24" s="270"/>
      <c r="G24" s="270"/>
      <c r="H24" s="270"/>
      <c r="I24" s="270"/>
      <c r="J24" s="270"/>
      <c r="K24" s="271"/>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x14ac:dyDescent="0.3">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x14ac:dyDescent="0.25">
      <c r="A26" s="250"/>
      <c r="B26" s="251"/>
      <c r="C26" s="248"/>
      <c r="D26" s="248"/>
      <c r="E26" s="248"/>
      <c r="F26" s="248"/>
      <c r="G26" s="248"/>
      <c r="H26" s="248"/>
      <c r="I26" s="248"/>
      <c r="J26" s="248"/>
      <c r="K26" s="249"/>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x14ac:dyDescent="0.25">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x14ac:dyDescent="0.25">
      <c r="A28" s="269"/>
      <c r="B28" s="251" t="s">
        <v>206</v>
      </c>
      <c r="C28" s="270"/>
      <c r="D28" s="270"/>
      <c r="E28" s="270"/>
      <c r="F28" s="270"/>
      <c r="G28" s="270"/>
      <c r="H28" s="270"/>
      <c r="I28" s="270"/>
      <c r="J28" s="270"/>
      <c r="K28" s="271"/>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x14ac:dyDescent="0.25">
      <c r="A29" s="250"/>
      <c r="B29" s="251" t="s">
        <v>207</v>
      </c>
      <c r="C29" s="248"/>
      <c r="D29" s="248"/>
      <c r="E29" s="248"/>
      <c r="F29" s="248"/>
      <c r="G29" s="248"/>
      <c r="H29" s="248"/>
      <c r="I29" s="248"/>
      <c r="J29" s="248"/>
      <c r="K29" s="249"/>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x14ac:dyDescent="0.25">
      <c r="A30" s="250"/>
      <c r="B30" s="201" t="s">
        <v>208</v>
      </c>
      <c r="C30" s="248"/>
      <c r="D30" s="248"/>
      <c r="E30" s="248"/>
      <c r="F30" s="248"/>
      <c r="G30" s="248"/>
      <c r="H30" s="248"/>
      <c r="I30" s="248"/>
      <c r="J30" s="248"/>
      <c r="K30" s="249"/>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x14ac:dyDescent="0.25">
      <c r="A31" s="250"/>
      <c r="B31" s="251"/>
      <c r="C31" s="248"/>
      <c r="D31" s="248"/>
      <c r="E31" s="248"/>
      <c r="F31" s="248"/>
      <c r="G31" s="248"/>
      <c r="H31" s="248"/>
      <c r="I31" s="248"/>
      <c r="J31" s="248"/>
      <c r="K31" s="249"/>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x14ac:dyDescent="0.25">
      <c r="A32" s="198">
        <v>4.25</v>
      </c>
      <c r="B32" s="251" t="s">
        <v>0</v>
      </c>
      <c r="C32" s="248"/>
      <c r="D32" s="248"/>
      <c r="E32" s="248"/>
      <c r="F32" s="248"/>
      <c r="G32" s="248"/>
      <c r="H32" s="248"/>
      <c r="I32" s="248"/>
      <c r="J32" s="248"/>
      <c r="K32" s="249"/>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x14ac:dyDescent="0.25">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x14ac:dyDescent="0.25">
      <c r="A34" s="250"/>
      <c r="B34" s="251" t="s">
        <v>210</v>
      </c>
      <c r="C34" s="248"/>
      <c r="D34" s="248"/>
      <c r="E34" s="248"/>
      <c r="F34" s="248"/>
      <c r="G34" s="248"/>
      <c r="H34" s="248"/>
      <c r="I34" s="248"/>
      <c r="J34" s="248"/>
      <c r="K34" s="249"/>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x14ac:dyDescent="0.25">
      <c r="A35" s="250"/>
      <c r="B35" s="251"/>
      <c r="C35" s="248"/>
      <c r="D35" s="248"/>
      <c r="E35" s="248"/>
      <c r="F35" s="248"/>
      <c r="G35" s="248"/>
      <c r="H35" s="248"/>
      <c r="I35" s="248"/>
      <c r="J35" s="248"/>
      <c r="K35" s="249"/>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x14ac:dyDescent="0.25">
      <c r="A36" s="198">
        <v>2.25</v>
      </c>
      <c r="B36" s="251" t="s">
        <v>1</v>
      </c>
      <c r="C36" s="248"/>
      <c r="D36" s="248"/>
      <c r="E36" s="248"/>
      <c r="F36" s="248"/>
      <c r="G36" s="248"/>
      <c r="H36" s="248"/>
      <c r="I36" s="248"/>
      <c r="J36" s="248"/>
      <c r="K36" s="249"/>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x14ac:dyDescent="0.25">
      <c r="A37" s="250"/>
      <c r="B37" s="251" t="s">
        <v>211</v>
      </c>
      <c r="C37" s="248"/>
      <c r="D37" s="248"/>
      <c r="E37" s="248"/>
      <c r="F37" s="248"/>
      <c r="G37" s="248"/>
      <c r="H37" s="248"/>
      <c r="I37" s="248"/>
      <c r="J37" s="248"/>
      <c r="K37" s="249"/>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x14ac:dyDescent="0.25">
      <c r="A38" s="250"/>
      <c r="B38" s="251" t="s">
        <v>212</v>
      </c>
      <c r="C38" s="248"/>
      <c r="D38" s="248"/>
      <c r="E38" s="248"/>
      <c r="F38" s="248"/>
      <c r="G38" s="248"/>
      <c r="H38" s="248"/>
      <c r="I38" s="248"/>
      <c r="J38" s="248"/>
      <c r="K38" s="249"/>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x14ac:dyDescent="0.3">
      <c r="A39" s="285"/>
      <c r="B39" s="286"/>
      <c r="C39" s="287"/>
      <c r="D39" s="287"/>
      <c r="E39" s="287"/>
      <c r="F39" s="287"/>
      <c r="G39" s="287"/>
      <c r="H39" s="287"/>
      <c r="I39" s="287"/>
      <c r="J39" s="287"/>
      <c r="K39" s="288"/>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thickBot="1" x14ac:dyDescent="0.3">
      <c r="A41" s="20" t="s">
        <v>280</v>
      </c>
      <c r="B41" s="20"/>
      <c r="C41" s="20"/>
      <c r="D41" s="20"/>
      <c r="E41" s="20" t="s">
        <v>281</v>
      </c>
      <c r="F41" s="20"/>
      <c r="G41" s="20"/>
      <c r="H41" s="20"/>
      <c r="I41" s="20" t="s">
        <v>282</v>
      </c>
      <c r="J41" s="20" t="s">
        <v>281</v>
      </c>
      <c r="K41" s="20" t="s">
        <v>283</v>
      </c>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thickBot="1" x14ac:dyDescent="0.3">
      <c r="A42" s="20"/>
      <c r="B42" s="204" t="s">
        <v>195</v>
      </c>
      <c r="C42" s="256" t="s">
        <v>196</v>
      </c>
      <c r="D42" s="20" t="s">
        <v>223</v>
      </c>
      <c r="E42" s="20" t="s">
        <v>284</v>
      </c>
      <c r="F42" s="20" t="s">
        <v>285</v>
      </c>
      <c r="G42" s="20" t="s">
        <v>286</v>
      </c>
      <c r="H42" s="20"/>
      <c r="I42" s="20" t="s">
        <v>287</v>
      </c>
      <c r="J42" s="20">
        <v>2017</v>
      </c>
      <c r="K42" s="20" t="s">
        <v>288</v>
      </c>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x14ac:dyDescent="0.25">
      <c r="A43" s="20"/>
      <c r="B43" s="266">
        <v>2015</v>
      </c>
      <c r="C43" s="260">
        <v>1900</v>
      </c>
      <c r="D43" s="312">
        <f>(1+B23)</f>
        <v>1.04</v>
      </c>
      <c r="E43" s="313">
        <f>(1+B18)^(2017-B43)</f>
        <v>1.0609</v>
      </c>
      <c r="F43" s="20">
        <f>C43*D43*E43</f>
        <v>2096.3384000000001</v>
      </c>
      <c r="G43" s="20">
        <f>F43/E52</f>
        <v>1964.7032802249298</v>
      </c>
      <c r="H43" s="20"/>
      <c r="I43" s="302">
        <f>E8</f>
        <v>1250</v>
      </c>
      <c r="J43" s="313">
        <f>(1+$B$17)^(2017-B43)</f>
        <v>1.0404</v>
      </c>
      <c r="K43" s="20">
        <f>I43*J43</f>
        <v>1300.5</v>
      </c>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x14ac:dyDescent="0.25">
      <c r="A44" s="20"/>
      <c r="B44" s="266">
        <v>2016</v>
      </c>
      <c r="C44" s="260">
        <v>2085</v>
      </c>
      <c r="D44" s="312">
        <f>(1+B23)/(0.875*1+0.125*1.04)</f>
        <v>1.0348258706467663</v>
      </c>
      <c r="E44" s="313">
        <f>(1+B18)^(2017-B44)</f>
        <v>1.03</v>
      </c>
      <c r="F44" s="20">
        <f>C44*D44*E44</f>
        <v>2222.3402985074631</v>
      </c>
      <c r="G44" s="20">
        <f>F44/D52</f>
        <v>1945.3288086279013</v>
      </c>
      <c r="H44" s="20"/>
      <c r="I44" s="302">
        <f>D9</f>
        <v>1285</v>
      </c>
      <c r="J44" s="313">
        <f>(1+$B$17)^(2017-B44)</f>
        <v>1.02</v>
      </c>
      <c r="K44" s="20">
        <f>I44*J44</f>
        <v>1310.7</v>
      </c>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thickBot="1" x14ac:dyDescent="0.3">
      <c r="A45" s="20"/>
      <c r="B45" s="267">
        <v>2017</v>
      </c>
      <c r="C45" s="268">
        <v>2100</v>
      </c>
      <c r="D45" s="312">
        <f>(1+B23)/(0.875*1.04+1*0.125)</f>
        <v>1.0048309178743959</v>
      </c>
      <c r="E45" s="313">
        <f>(1+B18)^(2017-B45)</f>
        <v>1</v>
      </c>
      <c r="F45" s="20">
        <f>C45*D45*E45</f>
        <v>2110.1449275362315</v>
      </c>
      <c r="G45" s="20">
        <f>F45/C52</f>
        <v>1581.6524436561594</v>
      </c>
      <c r="H45" s="20"/>
      <c r="I45" s="302">
        <f>C10</f>
        <v>1050</v>
      </c>
      <c r="J45" s="313">
        <f>(1+$B$17)^(2017-B45)</f>
        <v>1</v>
      </c>
      <c r="K45" s="20">
        <f>I45*J45</f>
        <v>1050</v>
      </c>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thickBot="1" x14ac:dyDescent="0.3">
      <c r="A47" s="20"/>
      <c r="B47" s="20" t="s">
        <v>289</v>
      </c>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thickBot="1" x14ac:dyDescent="0.3">
      <c r="A48" s="20"/>
      <c r="B48" s="204" t="s">
        <v>90</v>
      </c>
      <c r="C48" s="255" t="s">
        <v>290</v>
      </c>
      <c r="D48" s="255" t="s">
        <v>291</v>
      </c>
      <c r="E48" s="20" t="s">
        <v>292</v>
      </c>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x14ac:dyDescent="0.25">
      <c r="A49" s="20"/>
      <c r="B49" s="257">
        <v>2015</v>
      </c>
      <c r="C49" s="314">
        <f>D8/C8</f>
        <v>1.1675</v>
      </c>
      <c r="D49" s="314">
        <f>E8/D8</f>
        <v>1.0706638115631693</v>
      </c>
      <c r="E49" s="315">
        <f>B25</f>
        <v>1.0669999999999999</v>
      </c>
      <c r="F49" s="20"/>
      <c r="G49" s="20"/>
      <c r="H49" s="20" t="s">
        <v>240</v>
      </c>
      <c r="I49" s="20" t="s">
        <v>293</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20"/>
      <c r="B50" s="257">
        <v>2016</v>
      </c>
      <c r="C50" s="314">
        <f>D9/C9</f>
        <v>1.1681818181818182</v>
      </c>
      <c r="D50" s="259"/>
      <c r="E50" s="20"/>
      <c r="F50" s="20"/>
      <c r="G50" s="20"/>
      <c r="H50" s="20">
        <v>2015</v>
      </c>
      <c r="I50" s="309">
        <f>I51/(1+$B$17)</f>
        <v>0.64079266043724636</v>
      </c>
      <c r="J50" s="20" t="s">
        <v>294</v>
      </c>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x14ac:dyDescent="0.25">
      <c r="A51" s="20"/>
      <c r="B51" s="20" t="s">
        <v>154</v>
      </c>
      <c r="C51" s="313">
        <f>AVERAGE(C49:C50)</f>
        <v>1.1678409090909092</v>
      </c>
      <c r="D51" s="313">
        <f>AVERAGE(D49:D50)</f>
        <v>1.0706638115631693</v>
      </c>
      <c r="E51" s="297">
        <f>AVERAGE(E49:E50)</f>
        <v>1.0669999999999999</v>
      </c>
      <c r="F51" s="20"/>
      <c r="G51" s="20"/>
      <c r="H51" s="20">
        <v>2016</v>
      </c>
      <c r="I51" s="309">
        <f>I52/(1+$B$17)</f>
        <v>0.65360851364599126</v>
      </c>
      <c r="J51" s="20" t="s">
        <v>295</v>
      </c>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x14ac:dyDescent="0.25">
      <c r="A52" s="20"/>
      <c r="B52" s="20" t="s">
        <v>155</v>
      </c>
      <c r="C52" s="20">
        <f>PRODUCT(C51:E51)</f>
        <v>1.3341394539614562</v>
      </c>
      <c r="D52" s="20">
        <f>PRODUCT(D51:F51)</f>
        <v>1.1423982869379015</v>
      </c>
      <c r="E52" s="20">
        <f>PRODUCT(E51:G51)</f>
        <v>1.0669999999999999</v>
      </c>
      <c r="F52" s="20"/>
      <c r="G52" s="20"/>
      <c r="H52" s="20">
        <v>2017</v>
      </c>
      <c r="I52" s="309">
        <f>SUM(K43:K45)/SUM(G43:G45)</f>
        <v>0.66668068391891111</v>
      </c>
      <c r="J52" s="20" t="s">
        <v>296</v>
      </c>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thickBo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thickBot="1" x14ac:dyDescent="0.3">
      <c r="A55" s="20"/>
      <c r="B55" s="204" t="s">
        <v>90</v>
      </c>
      <c r="C55" s="20" t="s">
        <v>297</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x14ac:dyDescent="0.25">
      <c r="A56" s="20"/>
      <c r="B56" s="257">
        <v>2015</v>
      </c>
      <c r="C56" s="316">
        <f>E8+F43*I50*(1-1/E52)</f>
        <v>1334.3508186076429</v>
      </c>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x14ac:dyDescent="0.25">
      <c r="A57" s="20"/>
      <c r="B57" s="257">
        <v>2016</v>
      </c>
      <c r="C57" s="316">
        <f>D9+I51*F44*(1-1/D52)</f>
        <v>1466.057068163042</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thickBot="1" x14ac:dyDescent="0.3">
      <c r="A58" s="20"/>
      <c r="B58" s="262">
        <v>2017</v>
      </c>
      <c r="C58" s="316">
        <f>C10+F45*I52*(1-1/C52)</f>
        <v>1402.3357305991703</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x14ac:dyDescent="0.25">
      <c r="A62" s="20" t="s">
        <v>298</v>
      </c>
      <c r="B62" s="20" t="s">
        <v>299</v>
      </c>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x14ac:dyDescent="0.25">
      <c r="A63" s="20"/>
      <c r="B63" s="20" t="s">
        <v>300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thickBot="1" x14ac:dyDescent="0.3">
      <c r="A64" s="20"/>
      <c r="B64" s="20"/>
      <c r="C64" s="20"/>
      <c r="D64" s="20"/>
      <c r="E64" s="20" t="s">
        <v>301</v>
      </c>
      <c r="F64" s="20"/>
      <c r="G64" s="20" t="s">
        <v>302</v>
      </c>
      <c r="H64" s="20"/>
      <c r="I64" s="20" t="s">
        <v>303</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thickBot="1" x14ac:dyDescent="0.3">
      <c r="A65" s="20"/>
      <c r="B65" s="204" t="s">
        <v>90</v>
      </c>
      <c r="C65" s="20" t="s">
        <v>265</v>
      </c>
      <c r="D65" s="20" t="s">
        <v>304</v>
      </c>
      <c r="E65" s="20" t="s">
        <v>265</v>
      </c>
      <c r="F65" s="20"/>
      <c r="G65" s="20" t="s">
        <v>305</v>
      </c>
      <c r="H65" s="20" t="s">
        <v>304</v>
      </c>
      <c r="I65" s="20" t="s">
        <v>306</v>
      </c>
      <c r="J65" s="20"/>
      <c r="K65" s="20" t="s">
        <v>245</v>
      </c>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x14ac:dyDescent="0.25">
      <c r="A66" s="20"/>
      <c r="B66" s="257">
        <v>2015</v>
      </c>
      <c r="C66" s="20">
        <f>C43*D43</f>
        <v>1976</v>
      </c>
      <c r="D66" s="20">
        <f>(1+B$18)^(4.5)</f>
        <v>1.1422666868245983</v>
      </c>
      <c r="E66" s="20">
        <f>C66*D66</f>
        <v>2257.1189731654063</v>
      </c>
      <c r="F66" s="20"/>
      <c r="G66" s="316">
        <f>C56</f>
        <v>1334.3508186076429</v>
      </c>
      <c r="H66" s="20">
        <f>(1+$B$17)^4.5</f>
        <v>1.0932028945361931</v>
      </c>
      <c r="I66" s="316">
        <f>G66*H66</f>
        <v>1458.716177228614</v>
      </c>
      <c r="J66" s="20"/>
      <c r="K66" s="317">
        <f>I66/E66</f>
        <v>0.64627349934633527</v>
      </c>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x14ac:dyDescent="0.25">
      <c r="A67" s="20"/>
      <c r="B67" s="257">
        <v>2016</v>
      </c>
      <c r="C67" s="20">
        <f>C44*D44</f>
        <v>2157.6119402985078</v>
      </c>
      <c r="D67" s="20">
        <f>(1+B$18)^(3.5)</f>
        <v>1.1089967833248526</v>
      </c>
      <c r="E67" s="20">
        <f>C67*D67</f>
        <v>2392.784701454339</v>
      </c>
      <c r="F67" s="20"/>
      <c r="G67" s="316">
        <f>C57</f>
        <v>1466.057068163042</v>
      </c>
      <c r="H67" s="20">
        <f>(1+$B$17)^3.5</f>
        <v>1.0717675436629344</v>
      </c>
      <c r="I67" s="316">
        <f>G67*H67</f>
        <v>1571.2723828147866</v>
      </c>
      <c r="J67" s="20"/>
      <c r="K67" s="317">
        <f>I67/E67</f>
        <v>0.65667102512807118</v>
      </c>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thickBot="1" x14ac:dyDescent="0.3">
      <c r="A68" s="20"/>
      <c r="B68" s="262">
        <v>2017</v>
      </c>
      <c r="C68" s="20">
        <f>C45*D45</f>
        <v>2110.1449275362315</v>
      </c>
      <c r="D68" s="20">
        <f>(1+B$18)^(2.5)</f>
        <v>1.0766959061406336</v>
      </c>
      <c r="E68" s="20">
        <f>C68*D68</f>
        <v>2271.9844048416844</v>
      </c>
      <c r="F68" s="20"/>
      <c r="G68" s="316">
        <f>C58</f>
        <v>1402.3357305991703</v>
      </c>
      <c r="H68" s="20">
        <f>(1+$B$17)^2.5</f>
        <v>1.0507524937871906</v>
      </c>
      <c r="I68" s="316">
        <f>G68*H68</f>
        <v>1473.50776605396</v>
      </c>
      <c r="J68" s="20"/>
      <c r="K68" s="317">
        <f>I68/E68</f>
        <v>0.64855540509602949</v>
      </c>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x14ac:dyDescent="0.25">
      <c r="A70" s="20"/>
      <c r="B70" s="20"/>
      <c r="C70" s="20"/>
      <c r="D70" s="20"/>
      <c r="E70" s="20"/>
      <c r="F70" s="20"/>
      <c r="G70" s="20"/>
      <c r="H70" s="20"/>
      <c r="I70" s="20"/>
      <c r="J70" s="20"/>
      <c r="K70" s="317">
        <f>AVERAGE(K66:K68)</f>
        <v>0.65049997652347857</v>
      </c>
      <c r="L70" s="20" t="s">
        <v>307</v>
      </c>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x14ac:dyDescent="0.25">
      <c r="A71" s="20"/>
      <c r="B71" s="20" t="s">
        <v>308</v>
      </c>
      <c r="C71" s="318">
        <f>(K70*(1+B22)+B19)/(1-B20-B21)-1</f>
        <v>0.22466919212326486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x14ac:dyDescent="0.25"/>
    <row r="202" spans="1:52" ht="14.85" hidden="1" customHeight="1" x14ac:dyDescent="0.25"/>
    <row r="203" spans="1:52" ht="14.85" hidden="1" customHeight="1" x14ac:dyDescent="0.25"/>
    <row r="204" spans="1:52" s="27" customFormat="1" ht="14.85" hidden="1"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x14ac:dyDescent="0.25"/>
    <row r="306" ht="0" hidden="1" customHeight="1" x14ac:dyDescent="0.25"/>
    <row r="307" ht="0" hidden="1" customHeight="1" x14ac:dyDescent="0.25"/>
    <row r="308" ht="0" hidden="1" customHeight="1" x14ac:dyDescent="0.25"/>
    <row r="309" ht="0" hidden="1" customHeight="1" x14ac:dyDescent="0.25"/>
  </sheetData>
  <conditionalFormatting sqref="B1">
    <cfRule type="cellIs" dxfId="171" priority="1" operator="equal">
      <formula>"Review Later"</formula>
    </cfRule>
    <cfRule type="cellIs" dxfId="170" priority="2" operator="equal">
      <formula>"Finished"</formula>
    </cfRule>
    <cfRule type="cellIs" dxfId="169" priority="3" operator="equal">
      <formula>"Incomplete"</formula>
    </cfRule>
  </conditionalFormatting>
  <pageMargins left="0.75" right="0.75" top="1" bottom="1" header="0.51180555555555496" footer="0.51180555555555496"/>
  <pageSetup firstPageNumber="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208"/>
  <sheetViews>
    <sheetView zoomScaleNormal="100" zoomScalePageLayoutView="89" workbookViewId="0"/>
  </sheetViews>
  <sheetFormatPr defaultColWidth="0" defaultRowHeight="0" customHeight="1" zeroHeight="1" x14ac:dyDescent="0.25"/>
  <cols>
    <col min="1" max="1" width="11.6640625" style="1" customWidth="1"/>
    <col min="2" max="2" width="16.44140625" style="1" customWidth="1"/>
    <col min="3" max="3" width="12.6640625" style="1" customWidth="1"/>
    <col min="4" max="4" width="14" style="1" bestFit="1" customWidth="1"/>
    <col min="5" max="6" width="10.6640625" style="1" customWidth="1"/>
    <col min="7" max="7" width="11.88671875" style="1" customWidth="1"/>
    <col min="8" max="8" width="11.33203125" style="1" customWidth="1"/>
    <col min="9" max="52" width="10.6640625" style="1" customWidth="1"/>
    <col min="53" max="55" width="0" style="1" hidden="1" customWidth="1"/>
    <col min="56" max="16384" width="10.6640625" style="1" hidden="1"/>
  </cols>
  <sheetData>
    <row r="1" spans="1:52" ht="14.4" thickBot="1" x14ac:dyDescent="0.3">
      <c r="A1" s="3">
        <v>9</v>
      </c>
      <c r="B1" s="4"/>
      <c r="C1" s="5"/>
      <c r="D1" s="5"/>
      <c r="E1" s="5"/>
      <c r="F1" s="5"/>
      <c r="G1" s="5"/>
      <c r="H1" s="6"/>
      <c r="I1" s="7"/>
      <c r="J1" s="7"/>
      <c r="K1" s="7"/>
      <c r="L1" s="7"/>
      <c r="M1" s="7"/>
      <c r="N1" s="7"/>
      <c r="O1" s="7"/>
      <c r="P1" s="7"/>
      <c r="Q1" s="7"/>
      <c r="R1" s="7"/>
      <c r="S1" s="7"/>
      <c r="T1" s="7"/>
      <c r="U1" s="7"/>
      <c r="V1" s="7"/>
      <c r="W1" s="7"/>
    </row>
    <row r="2" spans="1:52" ht="14.7" customHeight="1" x14ac:dyDescent="0.25">
      <c r="A2" s="8" t="s">
        <v>4</v>
      </c>
      <c r="B2" s="9"/>
      <c r="C2" s="9"/>
      <c r="D2" s="9"/>
      <c r="E2" s="9"/>
      <c r="F2" s="9"/>
      <c r="G2" s="9"/>
      <c r="H2" s="10"/>
      <c r="I2" s="7"/>
      <c r="J2" s="7"/>
      <c r="K2" s="7"/>
      <c r="L2" s="7"/>
      <c r="M2" s="7"/>
      <c r="N2" s="7"/>
      <c r="O2" s="7"/>
      <c r="P2" s="7"/>
      <c r="Q2" s="7"/>
      <c r="R2" s="7"/>
      <c r="S2" s="7"/>
      <c r="T2" s="7"/>
      <c r="U2" s="7"/>
      <c r="V2" s="7"/>
      <c r="W2" s="7"/>
    </row>
    <row r="3" spans="1:52" ht="14.7" customHeight="1" x14ac:dyDescent="0.25">
      <c r="A3" s="11">
        <v>1.75</v>
      </c>
      <c r="B3" s="9"/>
      <c r="C3" s="9"/>
      <c r="D3" s="9"/>
      <c r="E3" s="9"/>
      <c r="F3" s="9"/>
      <c r="G3" s="9"/>
      <c r="H3" s="10"/>
      <c r="I3" s="7"/>
      <c r="J3" s="7"/>
      <c r="K3" s="7"/>
      <c r="L3" s="7"/>
      <c r="M3" s="7"/>
      <c r="N3" s="7"/>
      <c r="O3" s="7"/>
      <c r="P3" s="7"/>
      <c r="Q3" s="7"/>
      <c r="R3" s="7"/>
      <c r="S3" s="7"/>
      <c r="T3" s="7"/>
      <c r="U3" s="7"/>
      <c r="V3" s="7"/>
      <c r="W3" s="7"/>
    </row>
    <row r="4" spans="1:52" ht="14.7" customHeight="1" x14ac:dyDescent="0.25">
      <c r="A4" s="11"/>
      <c r="B4" s="9" t="s">
        <v>309</v>
      </c>
      <c r="C4" s="9"/>
      <c r="D4" s="9"/>
      <c r="E4" s="9"/>
      <c r="F4" s="9"/>
      <c r="G4" s="9"/>
      <c r="H4" s="10"/>
      <c r="I4" s="7"/>
      <c r="J4" s="7"/>
      <c r="K4" s="7"/>
      <c r="L4" s="7"/>
      <c r="M4" s="7"/>
      <c r="N4" s="7"/>
      <c r="O4" s="7"/>
      <c r="P4" s="7"/>
      <c r="Q4" s="7"/>
      <c r="R4" s="7"/>
      <c r="S4" s="7"/>
      <c r="T4" s="7"/>
      <c r="U4" s="7"/>
      <c r="V4" s="7"/>
      <c r="W4" s="7"/>
    </row>
    <row r="5" spans="1:52" ht="14.7" customHeight="1" x14ac:dyDescent="0.25">
      <c r="A5" s="11"/>
      <c r="B5" s="319"/>
      <c r="C5" s="319"/>
      <c r="D5" s="319"/>
      <c r="E5" s="319"/>
      <c r="F5" s="319"/>
      <c r="G5" s="319"/>
      <c r="H5" s="14"/>
      <c r="I5" s="7" t="s">
        <v>310</v>
      </c>
      <c r="J5" s="7"/>
      <c r="K5" s="7"/>
      <c r="L5" s="7"/>
      <c r="M5" s="7"/>
      <c r="N5" s="7"/>
      <c r="O5" s="7"/>
      <c r="P5" s="7"/>
      <c r="Q5" s="7"/>
      <c r="R5" s="7"/>
      <c r="S5" s="7"/>
      <c r="T5" s="7"/>
      <c r="U5" s="7"/>
      <c r="V5" s="7"/>
      <c r="W5" s="7"/>
    </row>
    <row r="6" spans="1:52" ht="14.7" customHeight="1" thickBot="1" x14ac:dyDescent="0.3">
      <c r="A6" s="11"/>
      <c r="B6" s="320" t="s">
        <v>311</v>
      </c>
      <c r="C6" s="320"/>
      <c r="D6" s="320"/>
      <c r="E6" s="320"/>
      <c r="F6" s="320"/>
      <c r="G6" s="320"/>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thickBot="1" x14ac:dyDescent="0.3">
      <c r="A7" s="11"/>
      <c r="B7" s="321" t="s">
        <v>94</v>
      </c>
      <c r="C7" s="322" t="s">
        <v>312</v>
      </c>
      <c r="D7" s="322" t="s">
        <v>313</v>
      </c>
      <c r="E7" s="322" t="s">
        <v>314</v>
      </c>
      <c r="F7" s="322" t="s">
        <v>315</v>
      </c>
      <c r="G7" s="323" t="s">
        <v>316</v>
      </c>
      <c r="H7" s="14"/>
      <c r="I7" s="324" t="s">
        <v>39</v>
      </c>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3.8" x14ac:dyDescent="0.25">
      <c r="A8" s="11"/>
      <c r="B8" s="325">
        <v>1</v>
      </c>
      <c r="C8" s="326">
        <v>21</v>
      </c>
      <c r="D8" s="327">
        <v>1215</v>
      </c>
      <c r="E8" s="327">
        <v>1200</v>
      </c>
      <c r="F8" s="327">
        <v>50</v>
      </c>
      <c r="G8" s="328"/>
      <c r="H8" s="329"/>
      <c r="I8" s="7" t="s">
        <v>317</v>
      </c>
      <c r="J8" s="7"/>
      <c r="K8" s="7"/>
      <c r="L8" s="7"/>
      <c r="M8" s="7"/>
      <c r="N8" s="7"/>
      <c r="O8" s="7"/>
      <c r="P8" s="7" t="s">
        <v>318</v>
      </c>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330">
        <v>2</v>
      </c>
      <c r="C9" s="331">
        <v>22</v>
      </c>
      <c r="D9" s="332">
        <v>1200</v>
      </c>
      <c r="E9" s="332">
        <v>1125</v>
      </c>
      <c r="F9" s="332">
        <v>20</v>
      </c>
      <c r="G9" s="333">
        <v>0.75</v>
      </c>
      <c r="H9" s="334"/>
      <c r="I9" s="7" t="s">
        <v>94</v>
      </c>
      <c r="J9" s="7" t="s">
        <v>312</v>
      </c>
      <c r="K9" s="7" t="s">
        <v>313</v>
      </c>
      <c r="L9" s="7" t="s">
        <v>314</v>
      </c>
      <c r="M9" s="7" t="s">
        <v>315</v>
      </c>
      <c r="N9" s="7" t="s">
        <v>316</v>
      </c>
      <c r="O9" s="7" t="s">
        <v>319</v>
      </c>
      <c r="P9" s="7" t="s">
        <v>320</v>
      </c>
      <c r="Q9" s="7" t="s">
        <v>321</v>
      </c>
      <c r="R9" s="7" t="s">
        <v>322</v>
      </c>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330">
        <v>3</v>
      </c>
      <c r="C10" s="331">
        <v>23</v>
      </c>
      <c r="D10" s="332">
        <v>1185</v>
      </c>
      <c r="E10" s="332">
        <v>1050</v>
      </c>
      <c r="F10" s="332">
        <v>20</v>
      </c>
      <c r="G10" s="333">
        <v>0.75</v>
      </c>
      <c r="H10" s="10"/>
      <c r="I10" s="7">
        <v>1</v>
      </c>
      <c r="J10" s="7">
        <v>21</v>
      </c>
      <c r="K10" s="7">
        <v>1215</v>
      </c>
      <c r="L10" s="7">
        <v>1200</v>
      </c>
      <c r="M10" s="7">
        <v>50</v>
      </c>
      <c r="N10" s="7">
        <v>1</v>
      </c>
      <c r="O10" s="7">
        <f>K10-L10-M10</f>
        <v>-35</v>
      </c>
      <c r="P10" s="7">
        <f>N10</f>
        <v>1</v>
      </c>
      <c r="Q10" s="7">
        <f>O10*P10</f>
        <v>-35</v>
      </c>
      <c r="R10" s="7">
        <f>K10*P10</f>
        <v>1215</v>
      </c>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7" customHeight="1" thickBot="1" x14ac:dyDescent="0.3">
      <c r="A11" s="11"/>
      <c r="B11" s="335" t="s">
        <v>323</v>
      </c>
      <c r="C11" s="336"/>
      <c r="D11" s="337">
        <v>3600</v>
      </c>
      <c r="E11" s="337">
        <v>3375</v>
      </c>
      <c r="F11" s="337">
        <v>90</v>
      </c>
      <c r="G11" s="338"/>
      <c r="H11" s="10"/>
      <c r="I11" s="7">
        <v>2</v>
      </c>
      <c r="J11" s="7">
        <v>22</v>
      </c>
      <c r="K11" s="7">
        <v>1200</v>
      </c>
      <c r="L11" s="7">
        <v>1125</v>
      </c>
      <c r="M11" s="7">
        <v>20</v>
      </c>
      <c r="N11" s="7">
        <v>0.75</v>
      </c>
      <c r="O11" s="7">
        <f>K11-L11-M11</f>
        <v>55</v>
      </c>
      <c r="P11" s="7">
        <f>P10*N11</f>
        <v>0.75</v>
      </c>
      <c r="Q11" s="7">
        <f>O11*P11/(1+B20)</f>
        <v>39.285714285714285</v>
      </c>
      <c r="R11" s="7">
        <f>K11*P11/(1+B20)</f>
        <v>857.14285714285711</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7" customHeight="1" x14ac:dyDescent="0.25">
      <c r="A12" s="11"/>
      <c r="B12" s="339"/>
      <c r="C12" s="340"/>
      <c r="D12" s="9"/>
      <c r="E12" s="9"/>
      <c r="F12" s="9"/>
      <c r="G12" s="13"/>
      <c r="H12" s="10"/>
      <c r="I12" s="7">
        <v>3</v>
      </c>
      <c r="J12" s="7">
        <v>23</v>
      </c>
      <c r="K12" s="7">
        <v>1185</v>
      </c>
      <c r="L12" s="7">
        <v>1050</v>
      </c>
      <c r="M12" s="7">
        <v>20</v>
      </c>
      <c r="N12" s="7">
        <v>0.75</v>
      </c>
      <c r="O12" s="7">
        <f>K12-L12-M12</f>
        <v>115</v>
      </c>
      <c r="P12" s="7">
        <f>P11*N12</f>
        <v>0.5625</v>
      </c>
      <c r="Q12" s="7">
        <f>O12*P12/((1+B20)^2)</f>
        <v>58.673469387755098</v>
      </c>
      <c r="R12" s="7">
        <f>K12*P12/((1+B20)^2)</f>
        <v>604.59183673469386</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7" customHeight="1" thickBot="1" x14ac:dyDescent="0.3">
      <c r="A13" s="11"/>
      <c r="B13" s="320" t="s">
        <v>324</v>
      </c>
      <c r="C13" s="320"/>
      <c r="D13" s="320"/>
      <c r="E13" s="320"/>
      <c r="F13" s="320"/>
      <c r="G13" s="320"/>
      <c r="H13" s="10"/>
      <c r="I13" s="7"/>
      <c r="J13" s="7"/>
      <c r="K13" s="7"/>
      <c r="L13" s="7"/>
      <c r="M13" s="7"/>
      <c r="N13" s="7"/>
      <c r="O13" s="7"/>
      <c r="P13" s="7"/>
      <c r="Q13" s="7">
        <f>SUM(Q10:Q12)</f>
        <v>62.959183673469383</v>
      </c>
      <c r="R13" s="7">
        <f>SUM(R10:R12)</f>
        <v>2676.7346938775509</v>
      </c>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thickBot="1" x14ac:dyDescent="0.3">
      <c r="A14" s="11"/>
      <c r="B14" s="341" t="s">
        <v>94</v>
      </c>
      <c r="C14" s="342" t="s">
        <v>312</v>
      </c>
      <c r="D14" s="342" t="s">
        <v>313</v>
      </c>
      <c r="E14" s="342" t="s">
        <v>314</v>
      </c>
      <c r="F14" s="342" t="s">
        <v>315</v>
      </c>
      <c r="G14" s="343" t="s">
        <v>316</v>
      </c>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325">
        <v>1</v>
      </c>
      <c r="C15" s="326">
        <v>65</v>
      </c>
      <c r="D15" s="327">
        <v>900</v>
      </c>
      <c r="E15" s="327">
        <v>795</v>
      </c>
      <c r="F15" s="327">
        <v>50</v>
      </c>
      <c r="G15" s="328"/>
      <c r="H15" s="10"/>
      <c r="I15" s="7" t="s">
        <v>325</v>
      </c>
      <c r="J15" s="7"/>
      <c r="K15" s="7"/>
      <c r="L15" s="7"/>
      <c r="M15" s="7"/>
      <c r="N15" s="7"/>
      <c r="O15" s="7"/>
      <c r="P15" s="7"/>
      <c r="Q15" s="7" t="s">
        <v>326</v>
      </c>
      <c r="R15" s="7">
        <f>Q13/R13</f>
        <v>2.3520890515401037E-2</v>
      </c>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7" customHeight="1" x14ac:dyDescent="0.25">
      <c r="A16" s="11"/>
      <c r="B16" s="330">
        <v>2</v>
      </c>
      <c r="C16" s="331">
        <v>66</v>
      </c>
      <c r="D16" s="332">
        <v>900</v>
      </c>
      <c r="E16" s="332">
        <v>839</v>
      </c>
      <c r="F16" s="332">
        <v>20</v>
      </c>
      <c r="G16" s="333">
        <v>0.95</v>
      </c>
      <c r="H16" s="10"/>
      <c r="I16" s="7" t="s">
        <v>94</v>
      </c>
      <c r="J16" s="7" t="s">
        <v>312</v>
      </c>
      <c r="K16" s="7" t="s">
        <v>313</v>
      </c>
      <c r="L16" s="7" t="s">
        <v>314</v>
      </c>
      <c r="M16" s="7" t="s">
        <v>315</v>
      </c>
      <c r="N16" s="7" t="s">
        <v>316</v>
      </c>
      <c r="O16" s="7" t="s">
        <v>319</v>
      </c>
      <c r="P16" s="7" t="s">
        <v>327</v>
      </c>
      <c r="Q16" s="7" t="s">
        <v>321</v>
      </c>
      <c r="R16" s="7" t="s">
        <v>322</v>
      </c>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7" customHeight="1" x14ac:dyDescent="0.25">
      <c r="A17" s="11"/>
      <c r="B17" s="330">
        <v>3</v>
      </c>
      <c r="C17" s="331">
        <v>67</v>
      </c>
      <c r="D17" s="332">
        <v>900</v>
      </c>
      <c r="E17" s="332">
        <v>859</v>
      </c>
      <c r="F17" s="332">
        <v>20</v>
      </c>
      <c r="G17" s="333">
        <v>0.95</v>
      </c>
      <c r="H17" s="10"/>
      <c r="I17" s="7">
        <v>1</v>
      </c>
      <c r="J17" s="7">
        <v>65</v>
      </c>
      <c r="K17" s="7">
        <v>900</v>
      </c>
      <c r="L17" s="7">
        <v>795</v>
      </c>
      <c r="M17" s="7">
        <v>50</v>
      </c>
      <c r="N17" s="7">
        <v>1</v>
      </c>
      <c r="O17" s="7">
        <f>K17-L17-M17</f>
        <v>55</v>
      </c>
      <c r="P17" s="7">
        <f>N17</f>
        <v>1</v>
      </c>
      <c r="Q17" s="7">
        <f>O17*P17</f>
        <v>55</v>
      </c>
      <c r="R17" s="7">
        <f>K17*P17</f>
        <v>900</v>
      </c>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7" customHeight="1" thickBot="1" x14ac:dyDescent="0.3">
      <c r="A18" s="11"/>
      <c r="B18" s="335" t="s">
        <v>323</v>
      </c>
      <c r="C18" s="336"/>
      <c r="D18" s="337">
        <v>2700</v>
      </c>
      <c r="E18" s="337">
        <v>2493</v>
      </c>
      <c r="F18" s="337">
        <v>90</v>
      </c>
      <c r="G18" s="338"/>
      <c r="H18" s="10"/>
      <c r="I18" s="7">
        <v>2</v>
      </c>
      <c r="J18" s="7">
        <v>66</v>
      </c>
      <c r="K18" s="7">
        <v>900</v>
      </c>
      <c r="L18" s="7">
        <v>839</v>
      </c>
      <c r="M18" s="7">
        <v>20</v>
      </c>
      <c r="N18" s="7">
        <v>0.95</v>
      </c>
      <c r="O18" s="7">
        <f>K18-L18-M18</f>
        <v>41</v>
      </c>
      <c r="P18" s="7">
        <f>P17*N18</f>
        <v>0.95</v>
      </c>
      <c r="Q18" s="7">
        <f>O18*P18/(1+B20)</f>
        <v>37.095238095238088</v>
      </c>
      <c r="R18" s="7">
        <f>K18*P18/(1+B20)</f>
        <v>814.28571428571422</v>
      </c>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s="18" customFormat="1" ht="14.7" customHeight="1" thickBot="1" x14ac:dyDescent="0.3">
      <c r="A19" s="11"/>
      <c r="B19" s="339"/>
      <c r="C19" s="340"/>
      <c r="D19" s="9"/>
      <c r="E19" s="9"/>
      <c r="F19" s="9"/>
      <c r="G19" s="13"/>
      <c r="H19" s="10"/>
      <c r="I19" s="7">
        <v>3</v>
      </c>
      <c r="J19" s="7">
        <v>67</v>
      </c>
      <c r="K19" s="7">
        <v>900</v>
      </c>
      <c r="L19" s="7">
        <v>859</v>
      </c>
      <c r="M19" s="7">
        <v>20</v>
      </c>
      <c r="N19" s="7">
        <v>0.95</v>
      </c>
      <c r="O19" s="7">
        <f>K19-L19-M19</f>
        <v>21</v>
      </c>
      <c r="P19" s="7">
        <f>P18*N19</f>
        <v>0.90249999999999997</v>
      </c>
      <c r="Q19" s="7">
        <f>O19*P19/((1+B20)^2)</f>
        <v>17.19047619047619</v>
      </c>
      <c r="R19" s="7">
        <f>K19*P19/((1+B20)^2)</f>
        <v>736.73469387755097</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21" customFormat="1" ht="14.7" customHeight="1" thickBot="1" x14ac:dyDescent="0.3">
      <c r="A20" s="11"/>
      <c r="B20" s="344">
        <v>0.05</v>
      </c>
      <c r="C20" s="345" t="s">
        <v>328</v>
      </c>
      <c r="D20" s="346"/>
      <c r="E20" s="347"/>
      <c r="F20" s="347"/>
      <c r="G20" s="348"/>
      <c r="H20" s="10"/>
      <c r="I20" s="7"/>
      <c r="J20" s="7"/>
      <c r="K20" s="7"/>
      <c r="L20" s="7"/>
      <c r="M20" s="7"/>
      <c r="N20" s="7"/>
      <c r="O20" s="7"/>
      <c r="P20" s="7"/>
      <c r="Q20" s="7">
        <f>SUM(Q17:Q19)</f>
        <v>109.28571428571428</v>
      </c>
      <c r="R20" s="7">
        <f>SUM(R17:R19)</f>
        <v>2451.0204081632651</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s="21" customFormat="1" ht="14.7" customHeight="1" x14ac:dyDescent="0.25">
      <c r="A21" s="11"/>
      <c r="B21" s="349"/>
      <c r="C21" s="349"/>
      <c r="D21" s="347"/>
      <c r="E21" s="347"/>
      <c r="F21" s="347"/>
      <c r="G21" s="348"/>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s="21" customFormat="1" ht="14.7" customHeight="1" x14ac:dyDescent="0.25">
      <c r="A22" s="11"/>
      <c r="B22" s="347" t="s">
        <v>329</v>
      </c>
      <c r="C22" s="347"/>
      <c r="D22" s="347"/>
      <c r="E22" s="347"/>
      <c r="F22" s="347"/>
      <c r="G22" s="347"/>
      <c r="H22" s="10"/>
      <c r="I22" s="7"/>
      <c r="J22" s="7"/>
      <c r="K22" s="7"/>
      <c r="L22" s="7"/>
      <c r="M22" s="7"/>
      <c r="N22" s="7"/>
      <c r="O22" s="7"/>
      <c r="P22" s="7"/>
      <c r="Q22" s="7" t="s">
        <v>326</v>
      </c>
      <c r="R22" s="7">
        <f>Q20/R20</f>
        <v>4.4587843463780183E-2</v>
      </c>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11"/>
      <c r="B23" s="347" t="s">
        <v>330</v>
      </c>
      <c r="C23" s="347"/>
      <c r="D23" s="347"/>
      <c r="E23" s="347"/>
      <c r="F23" s="347"/>
      <c r="G23" s="347"/>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11"/>
      <c r="B24" s="347"/>
      <c r="C24" s="347"/>
      <c r="D24" s="347"/>
      <c r="E24" s="347"/>
      <c r="F24" s="347"/>
      <c r="G24" s="347"/>
      <c r="H24" s="10"/>
      <c r="I24" s="17"/>
      <c r="J24" s="17" t="s">
        <v>331</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4.7" customHeight="1" x14ac:dyDescent="0.25">
      <c r="A25" s="11"/>
      <c r="B25" s="350" t="s">
        <v>332</v>
      </c>
      <c r="C25" s="347"/>
      <c r="D25" s="347"/>
      <c r="E25" s="347"/>
      <c r="F25" s="347"/>
      <c r="G25" s="347"/>
      <c r="H25" s="26"/>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7" customHeight="1" x14ac:dyDescent="0.25">
      <c r="A26" s="269"/>
      <c r="B26" s="350" t="s">
        <v>333</v>
      </c>
      <c r="C26" s="351"/>
      <c r="D26" s="351"/>
      <c r="E26" s="351"/>
      <c r="F26" s="351"/>
      <c r="G26" s="351"/>
      <c r="H26" s="26"/>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7" customHeight="1" thickBot="1" x14ac:dyDescent="0.3">
      <c r="A27" s="352"/>
      <c r="B27" s="353"/>
      <c r="C27" s="353"/>
      <c r="D27" s="353"/>
      <c r="E27" s="353"/>
      <c r="F27" s="353"/>
      <c r="G27" s="353"/>
      <c r="H27" s="32"/>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7"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7"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7"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7"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7"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row r="206" spans="1:52" ht="0" hidden="1" customHeight="1" x14ac:dyDescent="0.25"/>
    <row r="207" spans="1:52" ht="0" hidden="1" customHeight="1" x14ac:dyDescent="0.25"/>
    <row r="208" spans="1:52" ht="0" hidden="1" customHeight="1" x14ac:dyDescent="0.25"/>
  </sheetData>
  <conditionalFormatting sqref="A26">
    <cfRule type="expression" dxfId="168" priority="4">
      <formula>CELL("protect",A26)=1</formula>
    </cfRule>
  </conditionalFormatting>
  <conditionalFormatting sqref="B1">
    <cfRule type="cellIs" dxfId="167" priority="1" operator="equal">
      <formula>"Review Later"</formula>
    </cfRule>
    <cfRule type="cellIs" dxfId="166" priority="2" operator="equal">
      <formula>"Finished"</formula>
    </cfRule>
    <cfRule type="cellIs" dxfId="165" priority="3" operator="equal">
      <formula>"Incomplete"</formula>
    </cfRule>
  </conditionalFormatting>
  <pageMargins left="0.7" right="0.7" top="0.75" bottom="0.75" header="0.51180555555555496" footer="0.51180555555555496"/>
  <pageSetup firstPageNumber="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c r="B14" s="7" t="s">
        <v>338</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t="s">
        <v>339</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t="s">
        <v>340</v>
      </c>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t="s">
        <v>341</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t="s">
        <v>342</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t="s">
        <v>343</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t="s">
        <v>344</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t="s">
        <v>345</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64" priority="1" operator="equal">
      <formula>"Review Later"</formula>
    </cfRule>
    <cfRule type="cellIs" dxfId="163" priority="2" operator="equal">
      <formula>"Finished"</formula>
    </cfRule>
    <cfRule type="cellIs" dxfId="162" priority="3" operator="equal">
      <formula>"Incomplete"</formula>
    </cfRule>
  </conditionalFormatting>
  <pageMargins left="0.7" right="0.7" top="0.75" bottom="0.75" header="0.51180555555555496" footer="0.51180555555555496"/>
  <pageSetup firstPageNumber="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C205"/>
  <sheetViews>
    <sheetView zoomScaleNormal="100" workbookViewId="0"/>
  </sheetViews>
  <sheetFormatPr defaultColWidth="0" defaultRowHeight="0" customHeight="1" zeroHeight="1" x14ac:dyDescent="0.3"/>
  <cols>
    <col min="1" max="1" width="11.6640625" style="355" customWidth="1"/>
    <col min="2" max="2" width="25.33203125" style="355" customWidth="1"/>
    <col min="3" max="52" width="10.6640625" style="355" customWidth="1"/>
    <col min="53" max="55" width="0" style="355" hidden="1" customWidth="1"/>
    <col min="56" max="16384" width="10.6640625" style="355" hidden="1"/>
  </cols>
  <sheetData>
    <row r="1" spans="1:52" ht="14.4" customHeight="1" thickBot="1" x14ac:dyDescent="0.35">
      <c r="A1" s="356">
        <v>10</v>
      </c>
      <c r="B1" s="357"/>
      <c r="C1" s="358"/>
      <c r="D1" s="358"/>
      <c r="E1" s="358"/>
      <c r="F1" s="358"/>
      <c r="G1" s="358"/>
      <c r="H1" s="358"/>
      <c r="I1" s="359"/>
      <c r="J1" s="360"/>
      <c r="K1" s="360"/>
      <c r="L1" s="360"/>
      <c r="M1" s="360"/>
      <c r="N1" s="360"/>
      <c r="O1" s="360"/>
      <c r="P1" s="360"/>
      <c r="Q1" s="360"/>
      <c r="R1" s="360"/>
      <c r="S1" s="360"/>
      <c r="T1" s="360"/>
      <c r="U1" s="360"/>
      <c r="V1" s="360"/>
      <c r="W1" s="360"/>
    </row>
    <row r="2" spans="1:52" ht="14.4" customHeight="1" x14ac:dyDescent="0.3">
      <c r="A2" s="361" t="s">
        <v>4</v>
      </c>
      <c r="B2" s="362"/>
      <c r="C2" s="362"/>
      <c r="D2" s="362"/>
      <c r="E2" s="362"/>
      <c r="F2" s="362"/>
      <c r="G2" s="362"/>
      <c r="H2" s="362"/>
      <c r="I2" s="363"/>
      <c r="J2" s="360"/>
      <c r="K2" s="360"/>
      <c r="L2" s="360"/>
      <c r="M2" s="360"/>
      <c r="N2" s="360"/>
      <c r="O2" s="360"/>
      <c r="P2" s="360"/>
      <c r="Q2" s="360"/>
      <c r="R2" s="360"/>
      <c r="S2" s="360"/>
      <c r="T2" s="360"/>
      <c r="U2" s="360"/>
      <c r="V2" s="360"/>
      <c r="W2" s="360"/>
    </row>
    <row r="3" spans="1:52" ht="14.4" customHeight="1" x14ac:dyDescent="0.3">
      <c r="A3" s="364">
        <v>2</v>
      </c>
      <c r="B3" s="362"/>
      <c r="C3" s="362"/>
      <c r="D3" s="362"/>
      <c r="E3" s="362"/>
      <c r="F3" s="362"/>
      <c r="G3" s="362"/>
      <c r="H3" s="362"/>
      <c r="I3" s="363"/>
      <c r="J3" s="360"/>
      <c r="K3" s="360"/>
      <c r="L3" s="360"/>
      <c r="M3" s="360"/>
      <c r="N3" s="360"/>
      <c r="O3" s="360"/>
      <c r="P3" s="360"/>
      <c r="Q3" s="360"/>
      <c r="R3" s="360"/>
      <c r="S3" s="360"/>
      <c r="T3" s="360"/>
      <c r="U3" s="360"/>
      <c r="V3" s="360"/>
      <c r="W3" s="360"/>
    </row>
    <row r="4" spans="1:52" ht="14.4" customHeight="1" x14ac:dyDescent="0.3">
      <c r="A4" s="364"/>
      <c r="B4" s="365" t="s">
        <v>334</v>
      </c>
      <c r="C4" s="362"/>
      <c r="D4" s="362"/>
      <c r="E4" s="362"/>
      <c r="F4" s="362"/>
      <c r="G4" s="366"/>
      <c r="H4" s="366"/>
      <c r="I4" s="363"/>
      <c r="J4" s="360"/>
      <c r="K4" s="360"/>
      <c r="L4" s="360"/>
      <c r="M4" s="360"/>
      <c r="N4" s="360"/>
      <c r="O4" s="360"/>
      <c r="P4" s="360"/>
      <c r="Q4" s="360"/>
      <c r="R4" s="360"/>
      <c r="S4" s="360"/>
      <c r="T4" s="360"/>
      <c r="U4" s="360"/>
      <c r="V4" s="360"/>
      <c r="W4" s="360"/>
    </row>
    <row r="5" spans="1:52" ht="14.4" customHeight="1" x14ac:dyDescent="0.3">
      <c r="A5" s="364"/>
      <c r="B5" s="365" t="s">
        <v>335</v>
      </c>
      <c r="C5" s="362"/>
      <c r="D5" s="362"/>
      <c r="E5" s="362"/>
      <c r="F5" s="362"/>
      <c r="G5" s="366"/>
      <c r="H5" s="366"/>
      <c r="I5" s="363"/>
      <c r="J5" s="360"/>
      <c r="K5" s="360"/>
      <c r="L5" s="360"/>
      <c r="M5" s="360"/>
      <c r="N5" s="360"/>
      <c r="O5" s="360"/>
      <c r="P5" s="360"/>
      <c r="Q5" s="360"/>
      <c r="R5" s="360"/>
      <c r="S5" s="360"/>
      <c r="T5" s="360"/>
      <c r="U5" s="360"/>
      <c r="V5" s="360"/>
      <c r="W5" s="360"/>
    </row>
    <row r="6" spans="1:52" ht="14.4" customHeight="1" x14ac:dyDescent="0.3">
      <c r="A6" s="364"/>
      <c r="B6" s="365"/>
      <c r="C6" s="362"/>
      <c r="D6" s="362"/>
      <c r="E6" s="362"/>
      <c r="F6" s="362"/>
      <c r="G6" s="366"/>
      <c r="H6" s="366"/>
      <c r="I6" s="363"/>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row>
    <row r="7" spans="1:52" ht="14.4" customHeight="1" x14ac:dyDescent="0.3">
      <c r="A7" s="364">
        <v>1</v>
      </c>
      <c r="B7" s="362" t="s">
        <v>0</v>
      </c>
      <c r="C7" s="362"/>
      <c r="D7" s="362"/>
      <c r="E7" s="362"/>
      <c r="F7" s="362"/>
      <c r="G7" s="362"/>
      <c r="H7" s="362"/>
      <c r="I7" s="367"/>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row>
    <row r="8" spans="1:52" ht="14.4" customHeight="1" x14ac:dyDescent="0.3">
      <c r="A8" s="364"/>
      <c r="B8" s="368" t="s">
        <v>336</v>
      </c>
      <c r="C8" s="362"/>
      <c r="D8" s="362"/>
      <c r="E8" s="362"/>
      <c r="F8" s="362"/>
      <c r="G8" s="362"/>
      <c r="H8" s="362"/>
      <c r="I8" s="367"/>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row>
    <row r="9" spans="1:52" ht="14.4" customHeight="1" x14ac:dyDescent="0.3">
      <c r="A9" s="364"/>
      <c r="B9" s="362"/>
      <c r="C9" s="362"/>
      <c r="D9" s="362"/>
      <c r="E9" s="362"/>
      <c r="F9" s="362"/>
      <c r="G9" s="362"/>
      <c r="H9" s="362"/>
      <c r="I9" s="367"/>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row>
    <row r="10" spans="1:52" ht="14.4" customHeight="1" x14ac:dyDescent="0.3">
      <c r="A10" s="364">
        <v>1</v>
      </c>
      <c r="B10" s="362" t="s">
        <v>1</v>
      </c>
      <c r="C10" s="362"/>
      <c r="D10" s="362"/>
      <c r="E10" s="362"/>
      <c r="F10" s="362"/>
      <c r="G10" s="362"/>
      <c r="H10" s="362"/>
      <c r="I10" s="367"/>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row>
    <row r="11" spans="1:52" ht="14.4" customHeight="1" x14ac:dyDescent="0.3">
      <c r="A11" s="364"/>
      <c r="B11" s="368" t="s">
        <v>337</v>
      </c>
      <c r="C11" s="362"/>
      <c r="D11" s="362"/>
      <c r="E11" s="362"/>
      <c r="F11" s="362"/>
      <c r="G11" s="362"/>
      <c r="H11" s="362"/>
      <c r="I11" s="367"/>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row>
    <row r="12" spans="1:52" ht="14.4" customHeight="1" thickBot="1" x14ac:dyDescent="0.35">
      <c r="A12" s="369"/>
      <c r="B12" s="370"/>
      <c r="C12" s="371"/>
      <c r="D12" s="372"/>
      <c r="E12" s="372"/>
      <c r="F12" s="372"/>
      <c r="G12" s="372"/>
      <c r="H12" s="372"/>
      <c r="I12" s="373"/>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row>
    <row r="13" spans="1:52" ht="14.4" customHeight="1" x14ac:dyDescent="0.3">
      <c r="A13" s="360"/>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row>
    <row r="14" spans="1:52" ht="14.4" customHeight="1" x14ac:dyDescent="0.3">
      <c r="A14" s="360"/>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row>
    <row r="15" spans="1:52" ht="14.4" customHeight="1" x14ac:dyDescent="0.3">
      <c r="A15" s="360"/>
      <c r="B15" s="360" t="s">
        <v>0</v>
      </c>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row>
    <row r="16" spans="1:52" ht="14.4" customHeight="1" x14ac:dyDescent="0.3">
      <c r="A16" s="360"/>
      <c r="B16" s="360" t="s">
        <v>346</v>
      </c>
      <c r="C16" s="360" t="s">
        <v>347</v>
      </c>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row>
    <row r="17" spans="1:52" ht="14.4" customHeight="1" x14ac:dyDescent="0.3">
      <c r="A17" s="360"/>
      <c r="B17" s="360" t="s">
        <v>348</v>
      </c>
      <c r="C17" s="360" t="s">
        <v>349</v>
      </c>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row>
    <row r="18" spans="1:52" ht="14.4" customHeight="1" x14ac:dyDescent="0.3">
      <c r="A18" s="360"/>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row>
    <row r="19" spans="1:52" ht="14.4" customHeight="1" x14ac:dyDescent="0.3">
      <c r="A19" s="360"/>
      <c r="B19" s="360" t="s">
        <v>1</v>
      </c>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row>
    <row r="20" spans="1:52" ht="14.4" customHeight="1" x14ac:dyDescent="0.3">
      <c r="A20" s="360"/>
      <c r="B20" s="360" t="s">
        <v>350</v>
      </c>
      <c r="C20" s="360" t="s">
        <v>351</v>
      </c>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row>
    <row r="21" spans="1:52" ht="14.4" customHeight="1" x14ac:dyDescent="0.3">
      <c r="A21" s="360"/>
      <c r="B21" s="360" t="s">
        <v>352</v>
      </c>
      <c r="C21" s="360" t="s">
        <v>353</v>
      </c>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row>
    <row r="22" spans="1:52" ht="14.4" customHeight="1" x14ac:dyDescent="0.3">
      <c r="A22" s="360"/>
      <c r="B22" s="360"/>
      <c r="C22" s="360" t="s">
        <v>354</v>
      </c>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row>
    <row r="23" spans="1:52" ht="14.4" customHeight="1" x14ac:dyDescent="0.3">
      <c r="A23" s="360"/>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row>
    <row r="24" spans="1:52" ht="14.4" customHeight="1" x14ac:dyDescent="0.3">
      <c r="A24" s="360"/>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row>
    <row r="25" spans="1:52" ht="14.4" customHeight="1" x14ac:dyDescent="0.3">
      <c r="A25" s="360"/>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60"/>
    </row>
    <row r="26" spans="1:52" ht="14.4" customHeight="1" x14ac:dyDescent="0.3">
      <c r="A26" s="360"/>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60"/>
    </row>
    <row r="27" spans="1:52" ht="14.4" customHeight="1" x14ac:dyDescent="0.3">
      <c r="A27" s="360"/>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row>
    <row r="28" spans="1:52" ht="14.4" customHeight="1" x14ac:dyDescent="0.3">
      <c r="A28" s="360"/>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row>
    <row r="29" spans="1:52" ht="14.4" customHeight="1" x14ac:dyDescent="0.3">
      <c r="A29" s="360"/>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row>
    <row r="30" spans="1:52" ht="14.4" customHeight="1" x14ac:dyDescent="0.3">
      <c r="A30" s="360"/>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row>
    <row r="31" spans="1:52" ht="14.4" customHeight="1" x14ac:dyDescent="0.3">
      <c r="A31" s="360"/>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row>
    <row r="32" spans="1:52" ht="14.4" customHeight="1" x14ac:dyDescent="0.3">
      <c r="A32" s="360"/>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row>
    <row r="33" spans="1:52" ht="14.4" customHeight="1" x14ac:dyDescent="0.3">
      <c r="A33" s="360"/>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0"/>
      <c r="AZ33" s="360"/>
    </row>
    <row r="34" spans="1:52" ht="14.4" customHeight="1" x14ac:dyDescent="0.3">
      <c r="A34" s="360"/>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row>
    <row r="35" spans="1:52" ht="14.4" customHeight="1" x14ac:dyDescent="0.3">
      <c r="A35" s="360"/>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row>
    <row r="36" spans="1:52" ht="14.4" customHeight="1" x14ac:dyDescent="0.3">
      <c r="A36" s="360"/>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row>
    <row r="37" spans="1:52" ht="14.4" customHeight="1" x14ac:dyDescent="0.3">
      <c r="A37" s="360"/>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row>
    <row r="38" spans="1:52" ht="14.4" customHeight="1" x14ac:dyDescent="0.3">
      <c r="A38" s="360"/>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row>
    <row r="39" spans="1:52" ht="14.4" customHeight="1" x14ac:dyDescent="0.3">
      <c r="A39" s="360"/>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c r="AN39" s="360"/>
      <c r="AO39" s="360"/>
      <c r="AP39" s="360"/>
      <c r="AQ39" s="360"/>
      <c r="AR39" s="360"/>
      <c r="AS39" s="360"/>
      <c r="AT39" s="360"/>
      <c r="AU39" s="360"/>
      <c r="AV39" s="360"/>
      <c r="AW39" s="360"/>
      <c r="AX39" s="360"/>
      <c r="AY39" s="360"/>
      <c r="AZ39" s="360"/>
    </row>
    <row r="40" spans="1:52" ht="14.4" customHeight="1" x14ac:dyDescent="0.3">
      <c r="A40" s="360"/>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row>
    <row r="41" spans="1:52" ht="14.4" customHeight="1" x14ac:dyDescent="0.3">
      <c r="A41" s="360"/>
      <c r="B41" s="360"/>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row>
    <row r="42" spans="1:52" ht="14.4" customHeight="1" x14ac:dyDescent="0.3">
      <c r="A42" s="360"/>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row>
    <row r="43" spans="1:52" ht="14.4" customHeight="1" x14ac:dyDescent="0.3">
      <c r="A43" s="360"/>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row>
    <row r="44" spans="1:52" ht="14.4" customHeight="1" x14ac:dyDescent="0.3">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c r="AN44" s="360"/>
      <c r="AO44" s="360"/>
      <c r="AP44" s="360"/>
      <c r="AQ44" s="360"/>
      <c r="AR44" s="360"/>
      <c r="AS44" s="360"/>
      <c r="AT44" s="360"/>
      <c r="AU44" s="360"/>
      <c r="AV44" s="360"/>
      <c r="AW44" s="360"/>
      <c r="AX44" s="360"/>
      <c r="AY44" s="360"/>
      <c r="AZ44" s="360"/>
    </row>
    <row r="45" spans="1:52" ht="14.4" customHeight="1" x14ac:dyDescent="0.3">
      <c r="A45" s="360"/>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row>
    <row r="46" spans="1:52" ht="14.4" customHeight="1" x14ac:dyDescent="0.3">
      <c r="A46" s="360"/>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360"/>
      <c r="AZ46" s="360"/>
    </row>
    <row r="47" spans="1:52" ht="14.4" customHeight="1" x14ac:dyDescent="0.3">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row>
    <row r="48" spans="1:52" ht="14.4" customHeight="1" x14ac:dyDescent="0.3">
      <c r="A48" s="360"/>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row>
    <row r="49" spans="1:52" ht="14.4" customHeight="1" x14ac:dyDescent="0.3">
      <c r="A49" s="360"/>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row>
    <row r="50" spans="1:52" ht="14.4" customHeight="1" x14ac:dyDescent="0.3">
      <c r="A50" s="360"/>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row>
    <row r="51" spans="1:52" ht="14.4" customHeight="1" x14ac:dyDescent="0.3">
      <c r="A51" s="360"/>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row>
    <row r="52" spans="1:52" ht="14.4" customHeight="1" x14ac:dyDescent="0.3">
      <c r="A52" s="360"/>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row>
    <row r="53" spans="1:52" ht="14.4" customHeight="1" x14ac:dyDescent="0.3">
      <c r="A53" s="360"/>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row>
    <row r="54" spans="1:52" ht="14.4" customHeight="1" x14ac:dyDescent="0.3">
      <c r="A54" s="360"/>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row>
    <row r="55" spans="1:52" ht="14.4" customHeight="1" x14ac:dyDescent="0.3">
      <c r="A55" s="360"/>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row>
    <row r="56" spans="1:52" ht="14.4" customHeight="1" x14ac:dyDescent="0.3">
      <c r="A56" s="360"/>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row>
    <row r="57" spans="1:52" ht="14.4" customHeight="1" x14ac:dyDescent="0.3">
      <c r="A57" s="360"/>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row>
    <row r="58" spans="1:52" ht="14.4" customHeight="1" x14ac:dyDescent="0.3">
      <c r="A58" s="360"/>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row>
    <row r="59" spans="1:52" ht="14.4" customHeight="1" x14ac:dyDescent="0.3">
      <c r="A59" s="360"/>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row>
    <row r="60" spans="1:52" ht="14.4" customHeight="1" x14ac:dyDescent="0.3">
      <c r="A60" s="360"/>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row>
    <row r="61" spans="1:52" ht="14.4" customHeight="1" x14ac:dyDescent="0.3">
      <c r="A61" s="360"/>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row>
    <row r="62" spans="1:52" ht="14.4" customHeight="1" x14ac:dyDescent="0.3">
      <c r="A62" s="360"/>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row>
    <row r="63" spans="1:52" ht="14.4" customHeight="1" x14ac:dyDescent="0.3">
      <c r="A63" s="360"/>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row>
    <row r="64" spans="1:52" ht="14.4" customHeight="1" x14ac:dyDescent="0.3">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row>
    <row r="65" spans="1:52" ht="14.4" customHeight="1" x14ac:dyDescent="0.3">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row>
    <row r="66" spans="1:52" ht="14.4" customHeight="1" x14ac:dyDescent="0.3">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row>
    <row r="67" spans="1:52" ht="14.4" customHeight="1" x14ac:dyDescent="0.3">
      <c r="A67" s="360"/>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row>
    <row r="68" spans="1:52" ht="14.4" customHeight="1" x14ac:dyDescent="0.3">
      <c r="A68" s="360"/>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c r="AN68" s="360"/>
      <c r="AO68" s="360"/>
      <c r="AP68" s="360"/>
      <c r="AQ68" s="360"/>
      <c r="AR68" s="360"/>
      <c r="AS68" s="360"/>
      <c r="AT68" s="360"/>
      <c r="AU68" s="360"/>
      <c r="AV68" s="360"/>
      <c r="AW68" s="360"/>
      <c r="AX68" s="360"/>
      <c r="AY68" s="360"/>
      <c r="AZ68" s="360"/>
    </row>
    <row r="69" spans="1:52" ht="14.4" customHeight="1" x14ac:dyDescent="0.3">
      <c r="A69" s="360"/>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0"/>
    </row>
    <row r="70" spans="1:52" ht="14.4" customHeight="1" x14ac:dyDescent="0.3">
      <c r="A70" s="360"/>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row>
    <row r="71" spans="1:52" ht="14.4" customHeight="1" x14ac:dyDescent="0.3">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row>
    <row r="72" spans="1:52" ht="14.4" customHeight="1" x14ac:dyDescent="0.3">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row>
    <row r="73" spans="1:52" ht="14.4" customHeight="1" x14ac:dyDescent="0.3">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row>
    <row r="74" spans="1:52" ht="14.4" customHeight="1" x14ac:dyDescent="0.3">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row>
    <row r="75" spans="1:52" ht="14.4" customHeight="1" x14ac:dyDescent="0.3">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row>
    <row r="76" spans="1:52" ht="14.4" customHeight="1" x14ac:dyDescent="0.3">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row>
    <row r="77" spans="1:52" ht="14.4" customHeight="1" x14ac:dyDescent="0.3">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row>
    <row r="78" spans="1:52" ht="14.4" customHeight="1" x14ac:dyDescent="0.3">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row>
    <row r="79" spans="1:52" ht="14.4" customHeight="1" x14ac:dyDescent="0.3">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60"/>
      <c r="AQ79" s="360"/>
      <c r="AR79" s="360"/>
      <c r="AS79" s="360"/>
      <c r="AT79" s="360"/>
      <c r="AU79" s="360"/>
      <c r="AV79" s="360"/>
      <c r="AW79" s="360"/>
      <c r="AX79" s="360"/>
      <c r="AY79" s="360"/>
      <c r="AZ79" s="360"/>
    </row>
    <row r="80" spans="1:52" ht="14.4" customHeight="1" x14ac:dyDescent="0.3">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row>
    <row r="81" spans="1:52" ht="14.4" customHeight="1" x14ac:dyDescent="0.3">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row>
    <row r="82" spans="1:52" ht="14.4" customHeight="1" x14ac:dyDescent="0.3">
      <c r="A82" s="360"/>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row>
    <row r="83" spans="1:52" ht="14.4" customHeight="1" x14ac:dyDescent="0.3">
      <c r="A83" s="360"/>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row>
    <row r="84" spans="1:52" ht="14.4" customHeight="1" x14ac:dyDescent="0.3">
      <c r="A84" s="360"/>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row>
    <row r="85" spans="1:52" ht="14.4" customHeight="1" x14ac:dyDescent="0.3">
      <c r="A85" s="360"/>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row>
    <row r="86" spans="1:52" ht="14.4" customHeight="1" x14ac:dyDescent="0.3">
      <c r="A86" s="360"/>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row>
    <row r="87" spans="1:52" ht="14.4" customHeight="1" x14ac:dyDescent="0.3">
      <c r="A87" s="360"/>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row>
    <row r="88" spans="1:52" ht="14.4" customHeight="1" x14ac:dyDescent="0.3">
      <c r="A88" s="360"/>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row>
    <row r="89" spans="1:52" ht="14.4" customHeight="1" x14ac:dyDescent="0.3">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row>
    <row r="90" spans="1:52" ht="14.4" customHeight="1" x14ac:dyDescent="0.3">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row>
    <row r="91" spans="1:52" ht="14.4" customHeight="1" x14ac:dyDescent="0.3">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row>
    <row r="92" spans="1:52" ht="14.4" customHeight="1" x14ac:dyDescent="0.3">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row>
    <row r="93" spans="1:52" ht="14.4" customHeight="1" x14ac:dyDescent="0.3">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row>
    <row r="94" spans="1:52" ht="14.4" customHeight="1" x14ac:dyDescent="0.3">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row>
    <row r="95" spans="1:52" ht="14.4" customHeight="1" x14ac:dyDescent="0.3">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row>
    <row r="96" spans="1:52" ht="14.4" customHeight="1" x14ac:dyDescent="0.3">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0"/>
    </row>
    <row r="97" spans="1:52" ht="14.4" customHeight="1" x14ac:dyDescent="0.3">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row>
    <row r="98" spans="1:52" ht="14.4" customHeight="1" x14ac:dyDescent="0.3">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60"/>
      <c r="AQ98" s="360"/>
      <c r="AR98" s="360"/>
      <c r="AS98" s="360"/>
      <c r="AT98" s="360"/>
      <c r="AU98" s="360"/>
      <c r="AV98" s="360"/>
      <c r="AW98" s="360"/>
      <c r="AX98" s="360"/>
      <c r="AY98" s="360"/>
      <c r="AZ98" s="360"/>
    </row>
    <row r="99" spans="1:52" ht="14.4" customHeight="1" x14ac:dyDescent="0.3">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row>
    <row r="100" spans="1:52" ht="14.4" customHeight="1" x14ac:dyDescent="0.3">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row>
    <row r="101" spans="1:52" ht="14.4" customHeight="1" x14ac:dyDescent="0.3">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row>
    <row r="102" spans="1:52" ht="14.4" customHeight="1" x14ac:dyDescent="0.3">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row>
    <row r="103" spans="1:52" ht="14.4" customHeight="1" x14ac:dyDescent="0.3">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c r="AN103" s="360"/>
      <c r="AO103" s="360"/>
      <c r="AP103" s="360"/>
      <c r="AQ103" s="360"/>
      <c r="AR103" s="360"/>
      <c r="AS103" s="360"/>
      <c r="AT103" s="360"/>
      <c r="AU103" s="360"/>
      <c r="AV103" s="360"/>
      <c r="AW103" s="360"/>
      <c r="AX103" s="360"/>
      <c r="AY103" s="360"/>
      <c r="AZ103" s="360"/>
    </row>
    <row r="104" spans="1:52" ht="14.4" customHeight="1" x14ac:dyDescent="0.3">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0"/>
    </row>
    <row r="105" spans="1:52" ht="14.4" customHeight="1" x14ac:dyDescent="0.3">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row>
    <row r="106" spans="1:52" ht="14.4" customHeight="1" x14ac:dyDescent="0.3">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60"/>
      <c r="AY106" s="360"/>
      <c r="AZ106" s="360"/>
    </row>
    <row r="107" spans="1:52" ht="14.4" customHeight="1" x14ac:dyDescent="0.3">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c r="AN107" s="360"/>
      <c r="AO107" s="360"/>
      <c r="AP107" s="360"/>
      <c r="AQ107" s="360"/>
      <c r="AR107" s="360"/>
      <c r="AS107" s="360"/>
      <c r="AT107" s="360"/>
      <c r="AU107" s="360"/>
      <c r="AV107" s="360"/>
      <c r="AW107" s="360"/>
      <c r="AX107" s="360"/>
      <c r="AY107" s="360"/>
      <c r="AZ107" s="360"/>
    </row>
    <row r="108" spans="1:52" ht="14.4" customHeight="1" x14ac:dyDescent="0.3">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c r="AN108" s="360"/>
      <c r="AO108" s="360"/>
      <c r="AP108" s="360"/>
      <c r="AQ108" s="360"/>
      <c r="AR108" s="360"/>
      <c r="AS108" s="360"/>
      <c r="AT108" s="360"/>
      <c r="AU108" s="360"/>
      <c r="AV108" s="360"/>
      <c r="AW108" s="360"/>
      <c r="AX108" s="360"/>
      <c r="AY108" s="360"/>
      <c r="AZ108" s="360"/>
    </row>
    <row r="109" spans="1:52" ht="14.4" customHeight="1" x14ac:dyDescent="0.3">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row>
    <row r="110" spans="1:52" ht="14.4" customHeight="1" x14ac:dyDescent="0.3">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row>
    <row r="111" spans="1:52" ht="14.4" customHeight="1" x14ac:dyDescent="0.3">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row>
    <row r="112" spans="1:52" ht="14.4" customHeight="1" x14ac:dyDescent="0.3">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60"/>
      <c r="AY112" s="360"/>
      <c r="AZ112" s="360"/>
    </row>
    <row r="113" spans="1:52" ht="14.4" customHeight="1" x14ac:dyDescent="0.3">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c r="AV113" s="360"/>
      <c r="AW113" s="360"/>
      <c r="AX113" s="360"/>
      <c r="AY113" s="360"/>
      <c r="AZ113" s="360"/>
    </row>
    <row r="114" spans="1:52" ht="14.4" customHeight="1" x14ac:dyDescent="0.3">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c r="AV114" s="360"/>
      <c r="AW114" s="360"/>
      <c r="AX114" s="360"/>
      <c r="AY114" s="360"/>
      <c r="AZ114" s="360"/>
    </row>
    <row r="115" spans="1:52" ht="14.4" customHeight="1" x14ac:dyDescent="0.3">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c r="AN115" s="360"/>
      <c r="AO115" s="360"/>
      <c r="AP115" s="360"/>
      <c r="AQ115" s="360"/>
      <c r="AR115" s="360"/>
      <c r="AS115" s="360"/>
      <c r="AT115" s="360"/>
      <c r="AU115" s="360"/>
      <c r="AV115" s="360"/>
      <c r="AW115" s="360"/>
      <c r="AX115" s="360"/>
      <c r="AY115" s="360"/>
      <c r="AZ115" s="360"/>
    </row>
    <row r="116" spans="1:52" ht="14.4" customHeight="1" x14ac:dyDescent="0.3">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row>
    <row r="117" spans="1:52" ht="14.4" customHeight="1" x14ac:dyDescent="0.3">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c r="AV117" s="360"/>
      <c r="AW117" s="360"/>
      <c r="AX117" s="360"/>
      <c r="AY117" s="360"/>
      <c r="AZ117" s="360"/>
    </row>
    <row r="118" spans="1:52" ht="14.4" customHeight="1" x14ac:dyDescent="0.3">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c r="AV118" s="360"/>
      <c r="AW118" s="360"/>
      <c r="AX118" s="360"/>
      <c r="AY118" s="360"/>
      <c r="AZ118" s="360"/>
    </row>
    <row r="119" spans="1:52" ht="14.4" customHeight="1" x14ac:dyDescent="0.3">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c r="AV119" s="360"/>
      <c r="AW119" s="360"/>
      <c r="AX119" s="360"/>
      <c r="AY119" s="360"/>
      <c r="AZ119" s="360"/>
    </row>
    <row r="120" spans="1:52" ht="14.4" customHeight="1" x14ac:dyDescent="0.3">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c r="AN120" s="360"/>
      <c r="AO120" s="360"/>
      <c r="AP120" s="360"/>
      <c r="AQ120" s="360"/>
      <c r="AR120" s="360"/>
      <c r="AS120" s="360"/>
      <c r="AT120" s="360"/>
      <c r="AU120" s="360"/>
      <c r="AV120" s="360"/>
      <c r="AW120" s="360"/>
      <c r="AX120" s="360"/>
      <c r="AY120" s="360"/>
      <c r="AZ120" s="360"/>
    </row>
    <row r="121" spans="1:52" ht="14.4" customHeight="1" x14ac:dyDescent="0.3">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c r="AN121" s="360"/>
      <c r="AO121" s="360"/>
      <c r="AP121" s="360"/>
      <c r="AQ121" s="360"/>
      <c r="AR121" s="360"/>
      <c r="AS121" s="360"/>
      <c r="AT121" s="360"/>
      <c r="AU121" s="360"/>
      <c r="AV121" s="360"/>
      <c r="AW121" s="360"/>
      <c r="AX121" s="360"/>
      <c r="AY121" s="360"/>
      <c r="AZ121" s="360"/>
    </row>
    <row r="122" spans="1:52" ht="14.4" customHeight="1" x14ac:dyDescent="0.3">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c r="AN122" s="360"/>
      <c r="AO122" s="360"/>
      <c r="AP122" s="360"/>
      <c r="AQ122" s="360"/>
      <c r="AR122" s="360"/>
      <c r="AS122" s="360"/>
      <c r="AT122" s="360"/>
      <c r="AU122" s="360"/>
      <c r="AV122" s="360"/>
      <c r="AW122" s="360"/>
      <c r="AX122" s="360"/>
      <c r="AY122" s="360"/>
      <c r="AZ122" s="360"/>
    </row>
    <row r="123" spans="1:52" ht="14.4" customHeight="1" x14ac:dyDescent="0.3">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c r="AN123" s="360"/>
      <c r="AO123" s="360"/>
      <c r="AP123" s="360"/>
      <c r="AQ123" s="360"/>
      <c r="AR123" s="360"/>
      <c r="AS123" s="360"/>
      <c r="AT123" s="360"/>
      <c r="AU123" s="360"/>
      <c r="AV123" s="360"/>
      <c r="AW123" s="360"/>
      <c r="AX123" s="360"/>
      <c r="AY123" s="360"/>
      <c r="AZ123" s="360"/>
    </row>
    <row r="124" spans="1:52" ht="14.4" customHeight="1" x14ac:dyDescent="0.3">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c r="AN124" s="360"/>
      <c r="AO124" s="360"/>
      <c r="AP124" s="360"/>
      <c r="AQ124" s="360"/>
      <c r="AR124" s="360"/>
      <c r="AS124" s="360"/>
      <c r="AT124" s="360"/>
      <c r="AU124" s="360"/>
      <c r="AV124" s="360"/>
      <c r="AW124" s="360"/>
      <c r="AX124" s="360"/>
      <c r="AY124" s="360"/>
      <c r="AZ124" s="360"/>
    </row>
    <row r="125" spans="1:52" ht="14.4" customHeight="1" x14ac:dyDescent="0.3">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c r="AV125" s="360"/>
      <c r="AW125" s="360"/>
      <c r="AX125" s="360"/>
      <c r="AY125" s="360"/>
      <c r="AZ125" s="360"/>
    </row>
    <row r="126" spans="1:52" ht="14.4" customHeight="1" x14ac:dyDescent="0.3">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c r="AN126" s="360"/>
      <c r="AO126" s="360"/>
      <c r="AP126" s="360"/>
      <c r="AQ126" s="360"/>
      <c r="AR126" s="360"/>
      <c r="AS126" s="360"/>
      <c r="AT126" s="360"/>
      <c r="AU126" s="360"/>
      <c r="AV126" s="360"/>
      <c r="AW126" s="360"/>
      <c r="AX126" s="360"/>
      <c r="AY126" s="360"/>
      <c r="AZ126" s="360"/>
    </row>
    <row r="127" spans="1:52" ht="14.4" customHeight="1" x14ac:dyDescent="0.3">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c r="AN127" s="360"/>
      <c r="AO127" s="360"/>
      <c r="AP127" s="360"/>
      <c r="AQ127" s="360"/>
      <c r="AR127" s="360"/>
      <c r="AS127" s="360"/>
      <c r="AT127" s="360"/>
      <c r="AU127" s="360"/>
      <c r="AV127" s="360"/>
      <c r="AW127" s="360"/>
      <c r="AX127" s="360"/>
      <c r="AY127" s="360"/>
      <c r="AZ127" s="360"/>
    </row>
    <row r="128" spans="1:52" ht="14.4" customHeight="1" x14ac:dyDescent="0.3">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c r="AV128" s="360"/>
      <c r="AW128" s="360"/>
      <c r="AX128" s="360"/>
      <c r="AY128" s="360"/>
      <c r="AZ128" s="360"/>
    </row>
    <row r="129" spans="1:52" ht="14.4" customHeight="1" x14ac:dyDescent="0.3">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c r="AV129" s="360"/>
      <c r="AW129" s="360"/>
      <c r="AX129" s="360"/>
      <c r="AY129" s="360"/>
      <c r="AZ129" s="360"/>
    </row>
    <row r="130" spans="1:52" ht="14.4" customHeight="1" x14ac:dyDescent="0.3">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c r="AV130" s="360"/>
      <c r="AW130" s="360"/>
      <c r="AX130" s="360"/>
      <c r="AY130" s="360"/>
      <c r="AZ130" s="360"/>
    </row>
    <row r="131" spans="1:52" ht="14.4" customHeight="1" x14ac:dyDescent="0.3">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row>
    <row r="132" spans="1:52" ht="14.4" customHeight="1" x14ac:dyDescent="0.3">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c r="AV132" s="360"/>
      <c r="AW132" s="360"/>
      <c r="AX132" s="360"/>
      <c r="AY132" s="360"/>
      <c r="AZ132" s="360"/>
    </row>
    <row r="133" spans="1:52" ht="14.4" customHeight="1" x14ac:dyDescent="0.3">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row>
    <row r="134" spans="1:52" ht="14.4" customHeight="1" x14ac:dyDescent="0.3">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row>
    <row r="135" spans="1:52" ht="14.4" customHeight="1" x14ac:dyDescent="0.3">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c r="AV135" s="360"/>
      <c r="AW135" s="360"/>
      <c r="AX135" s="360"/>
      <c r="AY135" s="360"/>
      <c r="AZ135" s="360"/>
    </row>
    <row r="136" spans="1:52" ht="14.4" customHeight="1" x14ac:dyDescent="0.3">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c r="AV136" s="360"/>
      <c r="AW136" s="360"/>
      <c r="AX136" s="360"/>
      <c r="AY136" s="360"/>
      <c r="AZ136" s="360"/>
    </row>
    <row r="137" spans="1:52" ht="14.4" customHeight="1" x14ac:dyDescent="0.3">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row>
    <row r="138" spans="1:52" ht="14.4" customHeight="1" x14ac:dyDescent="0.3">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c r="AV138" s="360"/>
      <c r="AW138" s="360"/>
      <c r="AX138" s="360"/>
      <c r="AY138" s="360"/>
      <c r="AZ138" s="360"/>
    </row>
    <row r="139" spans="1:52" ht="14.4" customHeight="1" x14ac:dyDescent="0.3">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c r="AN139" s="360"/>
      <c r="AO139" s="360"/>
      <c r="AP139" s="360"/>
      <c r="AQ139" s="360"/>
      <c r="AR139" s="360"/>
      <c r="AS139" s="360"/>
      <c r="AT139" s="360"/>
      <c r="AU139" s="360"/>
      <c r="AV139" s="360"/>
      <c r="AW139" s="360"/>
      <c r="AX139" s="360"/>
      <c r="AY139" s="360"/>
      <c r="AZ139" s="360"/>
    </row>
    <row r="140" spans="1:52" ht="14.4" customHeight="1" x14ac:dyDescent="0.3">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c r="AN140" s="360"/>
      <c r="AO140" s="360"/>
      <c r="AP140" s="360"/>
      <c r="AQ140" s="360"/>
      <c r="AR140" s="360"/>
      <c r="AS140" s="360"/>
      <c r="AT140" s="360"/>
      <c r="AU140" s="360"/>
      <c r="AV140" s="360"/>
      <c r="AW140" s="360"/>
      <c r="AX140" s="360"/>
      <c r="AY140" s="360"/>
      <c r="AZ140" s="360"/>
    </row>
    <row r="141" spans="1:52" ht="14.4" customHeight="1" x14ac:dyDescent="0.3">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row>
    <row r="142" spans="1:52" ht="14.4" customHeight="1" x14ac:dyDescent="0.3">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c r="AN142" s="360"/>
      <c r="AO142" s="360"/>
      <c r="AP142" s="360"/>
      <c r="AQ142" s="360"/>
      <c r="AR142" s="360"/>
      <c r="AS142" s="360"/>
      <c r="AT142" s="360"/>
      <c r="AU142" s="360"/>
      <c r="AV142" s="360"/>
      <c r="AW142" s="360"/>
      <c r="AX142" s="360"/>
      <c r="AY142" s="360"/>
      <c r="AZ142" s="360"/>
    </row>
    <row r="143" spans="1:52" ht="14.4" customHeight="1" x14ac:dyDescent="0.3">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c r="AN143" s="360"/>
      <c r="AO143" s="360"/>
      <c r="AP143" s="360"/>
      <c r="AQ143" s="360"/>
      <c r="AR143" s="360"/>
      <c r="AS143" s="360"/>
      <c r="AT143" s="360"/>
      <c r="AU143" s="360"/>
      <c r="AV143" s="360"/>
      <c r="AW143" s="360"/>
      <c r="AX143" s="360"/>
      <c r="AY143" s="360"/>
      <c r="AZ143" s="360"/>
    </row>
    <row r="144" spans="1:52" ht="14.4" customHeight="1" x14ac:dyDescent="0.3">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c r="AN144" s="360"/>
      <c r="AO144" s="360"/>
      <c r="AP144" s="360"/>
      <c r="AQ144" s="360"/>
      <c r="AR144" s="360"/>
      <c r="AS144" s="360"/>
      <c r="AT144" s="360"/>
      <c r="AU144" s="360"/>
      <c r="AV144" s="360"/>
      <c r="AW144" s="360"/>
      <c r="AX144" s="360"/>
      <c r="AY144" s="360"/>
      <c r="AZ144" s="360"/>
    </row>
    <row r="145" spans="1:52" ht="14.4" customHeight="1" x14ac:dyDescent="0.3">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c r="AN145" s="360"/>
      <c r="AO145" s="360"/>
      <c r="AP145" s="360"/>
      <c r="AQ145" s="360"/>
      <c r="AR145" s="360"/>
      <c r="AS145" s="360"/>
      <c r="AT145" s="360"/>
      <c r="AU145" s="360"/>
      <c r="AV145" s="360"/>
      <c r="AW145" s="360"/>
      <c r="AX145" s="360"/>
      <c r="AY145" s="360"/>
      <c r="AZ145" s="360"/>
    </row>
    <row r="146" spans="1:52" ht="14.4" customHeight="1" x14ac:dyDescent="0.3">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c r="AN146" s="360"/>
      <c r="AO146" s="360"/>
      <c r="AP146" s="360"/>
      <c r="AQ146" s="360"/>
      <c r="AR146" s="360"/>
      <c r="AS146" s="360"/>
      <c r="AT146" s="360"/>
      <c r="AU146" s="360"/>
      <c r="AV146" s="360"/>
      <c r="AW146" s="360"/>
      <c r="AX146" s="360"/>
      <c r="AY146" s="360"/>
      <c r="AZ146" s="360"/>
    </row>
    <row r="147" spans="1:52" ht="14.4" customHeight="1" x14ac:dyDescent="0.3">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c r="AV147" s="360"/>
      <c r="AW147" s="360"/>
      <c r="AX147" s="360"/>
      <c r="AY147" s="360"/>
      <c r="AZ147" s="360"/>
    </row>
    <row r="148" spans="1:52" ht="14.4" customHeight="1" x14ac:dyDescent="0.3">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row>
    <row r="149" spans="1:52" ht="14.4" customHeight="1" x14ac:dyDescent="0.3">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c r="AN149" s="360"/>
      <c r="AO149" s="360"/>
      <c r="AP149" s="360"/>
      <c r="AQ149" s="360"/>
      <c r="AR149" s="360"/>
      <c r="AS149" s="360"/>
      <c r="AT149" s="360"/>
      <c r="AU149" s="360"/>
      <c r="AV149" s="360"/>
      <c r="AW149" s="360"/>
      <c r="AX149" s="360"/>
      <c r="AY149" s="360"/>
      <c r="AZ149" s="360"/>
    </row>
    <row r="150" spans="1:52" ht="14.4" customHeight="1" x14ac:dyDescent="0.3">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c r="AV150" s="360"/>
      <c r="AW150" s="360"/>
      <c r="AX150" s="360"/>
      <c r="AY150" s="360"/>
      <c r="AZ150" s="360"/>
    </row>
    <row r="151" spans="1:52" ht="14.4" customHeight="1" x14ac:dyDescent="0.3">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c r="AN151" s="360"/>
      <c r="AO151" s="360"/>
      <c r="AP151" s="360"/>
      <c r="AQ151" s="360"/>
      <c r="AR151" s="360"/>
      <c r="AS151" s="360"/>
      <c r="AT151" s="360"/>
      <c r="AU151" s="360"/>
      <c r="AV151" s="360"/>
      <c r="AW151" s="360"/>
      <c r="AX151" s="360"/>
      <c r="AY151" s="360"/>
      <c r="AZ151" s="360"/>
    </row>
    <row r="152" spans="1:52" ht="14.4" customHeight="1" x14ac:dyDescent="0.3">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c r="AN152" s="360"/>
      <c r="AO152" s="360"/>
      <c r="AP152" s="360"/>
      <c r="AQ152" s="360"/>
      <c r="AR152" s="360"/>
      <c r="AS152" s="360"/>
      <c r="AT152" s="360"/>
      <c r="AU152" s="360"/>
      <c r="AV152" s="360"/>
      <c r="AW152" s="360"/>
      <c r="AX152" s="360"/>
      <c r="AY152" s="360"/>
      <c r="AZ152" s="360"/>
    </row>
    <row r="153" spans="1:52" ht="14.4" customHeight="1" x14ac:dyDescent="0.3">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c r="AV153" s="360"/>
      <c r="AW153" s="360"/>
      <c r="AX153" s="360"/>
      <c r="AY153" s="360"/>
      <c r="AZ153" s="360"/>
    </row>
    <row r="154" spans="1:52" ht="14.4" customHeight="1" x14ac:dyDescent="0.3">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c r="AN154" s="360"/>
      <c r="AO154" s="360"/>
      <c r="AP154" s="360"/>
      <c r="AQ154" s="360"/>
      <c r="AR154" s="360"/>
      <c r="AS154" s="360"/>
      <c r="AT154" s="360"/>
      <c r="AU154" s="360"/>
      <c r="AV154" s="360"/>
      <c r="AW154" s="360"/>
      <c r="AX154" s="360"/>
      <c r="AY154" s="360"/>
      <c r="AZ154" s="360"/>
    </row>
    <row r="155" spans="1:52" ht="14.4" customHeight="1" x14ac:dyDescent="0.3">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row>
    <row r="156" spans="1:52" ht="14.4" customHeight="1" x14ac:dyDescent="0.3">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c r="AN156" s="360"/>
      <c r="AO156" s="360"/>
      <c r="AP156" s="360"/>
      <c r="AQ156" s="360"/>
      <c r="AR156" s="360"/>
      <c r="AS156" s="360"/>
      <c r="AT156" s="360"/>
      <c r="AU156" s="360"/>
      <c r="AV156" s="360"/>
      <c r="AW156" s="360"/>
      <c r="AX156" s="360"/>
      <c r="AY156" s="360"/>
      <c r="AZ156" s="360"/>
    </row>
    <row r="157" spans="1:52" ht="14.4" customHeight="1" x14ac:dyDescent="0.3">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row>
    <row r="158" spans="1:52" ht="14.4" customHeight="1" x14ac:dyDescent="0.3">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row>
    <row r="159" spans="1:52" ht="14.4" customHeight="1" x14ac:dyDescent="0.3">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c r="AN159" s="360"/>
      <c r="AO159" s="360"/>
      <c r="AP159" s="360"/>
      <c r="AQ159" s="360"/>
      <c r="AR159" s="360"/>
      <c r="AS159" s="360"/>
      <c r="AT159" s="360"/>
      <c r="AU159" s="360"/>
      <c r="AV159" s="360"/>
      <c r="AW159" s="360"/>
      <c r="AX159" s="360"/>
      <c r="AY159" s="360"/>
      <c r="AZ159" s="360"/>
    </row>
    <row r="160" spans="1:52" ht="14.4" customHeight="1" x14ac:dyDescent="0.3">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c r="AN160" s="360"/>
      <c r="AO160" s="360"/>
      <c r="AP160" s="360"/>
      <c r="AQ160" s="360"/>
      <c r="AR160" s="360"/>
      <c r="AS160" s="360"/>
      <c r="AT160" s="360"/>
      <c r="AU160" s="360"/>
      <c r="AV160" s="360"/>
      <c r="AW160" s="360"/>
      <c r="AX160" s="360"/>
      <c r="AY160" s="360"/>
      <c r="AZ160" s="360"/>
    </row>
    <row r="161" spans="1:52" ht="14.4" customHeight="1" x14ac:dyDescent="0.3">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c r="AN161" s="360"/>
      <c r="AO161" s="360"/>
      <c r="AP161" s="360"/>
      <c r="AQ161" s="360"/>
      <c r="AR161" s="360"/>
      <c r="AS161" s="360"/>
      <c r="AT161" s="360"/>
      <c r="AU161" s="360"/>
      <c r="AV161" s="360"/>
      <c r="AW161" s="360"/>
      <c r="AX161" s="360"/>
      <c r="AY161" s="360"/>
      <c r="AZ161" s="360"/>
    </row>
    <row r="162" spans="1:52" ht="14.4" customHeight="1" x14ac:dyDescent="0.3">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row>
    <row r="163" spans="1:52" ht="14.4" customHeight="1" x14ac:dyDescent="0.3">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c r="AN163" s="360"/>
      <c r="AO163" s="360"/>
      <c r="AP163" s="360"/>
      <c r="AQ163" s="360"/>
      <c r="AR163" s="360"/>
      <c r="AS163" s="360"/>
      <c r="AT163" s="360"/>
      <c r="AU163" s="360"/>
      <c r="AV163" s="360"/>
      <c r="AW163" s="360"/>
      <c r="AX163" s="360"/>
      <c r="AY163" s="360"/>
      <c r="AZ163" s="360"/>
    </row>
    <row r="164" spans="1:52" ht="14.4" customHeight="1" x14ac:dyDescent="0.3">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c r="AN164" s="360"/>
      <c r="AO164" s="360"/>
      <c r="AP164" s="360"/>
      <c r="AQ164" s="360"/>
      <c r="AR164" s="360"/>
      <c r="AS164" s="360"/>
      <c r="AT164" s="360"/>
      <c r="AU164" s="360"/>
      <c r="AV164" s="360"/>
      <c r="AW164" s="360"/>
      <c r="AX164" s="360"/>
      <c r="AY164" s="360"/>
      <c r="AZ164" s="360"/>
    </row>
    <row r="165" spans="1:52" ht="14.4" customHeight="1" x14ac:dyDescent="0.3">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c r="AN165" s="360"/>
      <c r="AO165" s="360"/>
      <c r="AP165" s="360"/>
      <c r="AQ165" s="360"/>
      <c r="AR165" s="360"/>
      <c r="AS165" s="360"/>
      <c r="AT165" s="360"/>
      <c r="AU165" s="360"/>
      <c r="AV165" s="360"/>
      <c r="AW165" s="360"/>
      <c r="AX165" s="360"/>
      <c r="AY165" s="360"/>
      <c r="AZ165" s="360"/>
    </row>
    <row r="166" spans="1:52" ht="14.4" customHeight="1" x14ac:dyDescent="0.3">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c r="AN166" s="360"/>
      <c r="AO166" s="360"/>
      <c r="AP166" s="360"/>
      <c r="AQ166" s="360"/>
      <c r="AR166" s="360"/>
      <c r="AS166" s="360"/>
      <c r="AT166" s="360"/>
      <c r="AU166" s="360"/>
      <c r="AV166" s="360"/>
      <c r="AW166" s="360"/>
      <c r="AX166" s="360"/>
      <c r="AY166" s="360"/>
      <c r="AZ166" s="360"/>
    </row>
    <row r="167" spans="1:52" ht="14.4" customHeight="1" x14ac:dyDescent="0.3">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row>
    <row r="168" spans="1:52" ht="14.4" customHeight="1" x14ac:dyDescent="0.3">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c r="AN168" s="360"/>
      <c r="AO168" s="360"/>
      <c r="AP168" s="360"/>
      <c r="AQ168" s="360"/>
      <c r="AR168" s="360"/>
      <c r="AS168" s="360"/>
      <c r="AT168" s="360"/>
      <c r="AU168" s="360"/>
      <c r="AV168" s="360"/>
      <c r="AW168" s="360"/>
      <c r="AX168" s="360"/>
      <c r="AY168" s="360"/>
      <c r="AZ168" s="360"/>
    </row>
    <row r="169" spans="1:52" ht="14.4" customHeight="1" x14ac:dyDescent="0.3">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0"/>
      <c r="AV169" s="360"/>
      <c r="AW169" s="360"/>
      <c r="AX169" s="360"/>
      <c r="AY169" s="360"/>
      <c r="AZ169" s="360"/>
    </row>
    <row r="170" spans="1:52" ht="14.4" customHeight="1" x14ac:dyDescent="0.3">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row>
    <row r="171" spans="1:52" ht="14.4" customHeight="1" x14ac:dyDescent="0.3">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c r="AN171" s="360"/>
      <c r="AO171" s="360"/>
      <c r="AP171" s="360"/>
      <c r="AQ171" s="360"/>
      <c r="AR171" s="360"/>
      <c r="AS171" s="360"/>
      <c r="AT171" s="360"/>
      <c r="AU171" s="360"/>
      <c r="AV171" s="360"/>
      <c r="AW171" s="360"/>
      <c r="AX171" s="360"/>
      <c r="AY171" s="360"/>
      <c r="AZ171" s="360"/>
    </row>
    <row r="172" spans="1:52" ht="14.4" customHeight="1" x14ac:dyDescent="0.3">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c r="AN172" s="360"/>
      <c r="AO172" s="360"/>
      <c r="AP172" s="360"/>
      <c r="AQ172" s="360"/>
      <c r="AR172" s="360"/>
      <c r="AS172" s="360"/>
      <c r="AT172" s="360"/>
      <c r="AU172" s="360"/>
      <c r="AV172" s="360"/>
      <c r="AW172" s="360"/>
      <c r="AX172" s="360"/>
      <c r="AY172" s="360"/>
      <c r="AZ172" s="360"/>
    </row>
    <row r="173" spans="1:52" ht="14.4" customHeight="1" x14ac:dyDescent="0.3">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row>
    <row r="174" spans="1:52" ht="14.4" customHeight="1" x14ac:dyDescent="0.3">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c r="AV174" s="360"/>
      <c r="AW174" s="360"/>
      <c r="AX174" s="360"/>
      <c r="AY174" s="360"/>
      <c r="AZ174" s="360"/>
    </row>
    <row r="175" spans="1:52" ht="14.4" customHeight="1" x14ac:dyDescent="0.3">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c r="AV175" s="360"/>
      <c r="AW175" s="360"/>
      <c r="AX175" s="360"/>
      <c r="AY175" s="360"/>
      <c r="AZ175" s="360"/>
    </row>
    <row r="176" spans="1:52" ht="14.4" customHeight="1" x14ac:dyDescent="0.3">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c r="AN176" s="360"/>
      <c r="AO176" s="360"/>
      <c r="AP176" s="360"/>
      <c r="AQ176" s="360"/>
      <c r="AR176" s="360"/>
      <c r="AS176" s="360"/>
      <c r="AT176" s="360"/>
      <c r="AU176" s="360"/>
      <c r="AV176" s="360"/>
      <c r="AW176" s="360"/>
      <c r="AX176" s="360"/>
      <c r="AY176" s="360"/>
      <c r="AZ176" s="360"/>
    </row>
    <row r="177" spans="1:52" ht="14.4" customHeight="1" x14ac:dyDescent="0.3">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c r="AV177" s="360"/>
      <c r="AW177" s="360"/>
      <c r="AX177" s="360"/>
      <c r="AY177" s="360"/>
      <c r="AZ177" s="360"/>
    </row>
    <row r="178" spans="1:52" ht="14.4" customHeight="1" x14ac:dyDescent="0.3">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c r="AN178" s="360"/>
      <c r="AO178" s="360"/>
      <c r="AP178" s="360"/>
      <c r="AQ178" s="360"/>
      <c r="AR178" s="360"/>
      <c r="AS178" s="360"/>
      <c r="AT178" s="360"/>
      <c r="AU178" s="360"/>
      <c r="AV178" s="360"/>
      <c r="AW178" s="360"/>
      <c r="AX178" s="360"/>
      <c r="AY178" s="360"/>
      <c r="AZ178" s="360"/>
    </row>
    <row r="179" spans="1:52" ht="14.4" customHeight="1" x14ac:dyDescent="0.3">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c r="AV179" s="360"/>
      <c r="AW179" s="360"/>
      <c r="AX179" s="360"/>
      <c r="AY179" s="360"/>
      <c r="AZ179" s="360"/>
    </row>
    <row r="180" spans="1:52" ht="14.4" customHeight="1" x14ac:dyDescent="0.3">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c r="AN180" s="360"/>
      <c r="AO180" s="360"/>
      <c r="AP180" s="360"/>
      <c r="AQ180" s="360"/>
      <c r="AR180" s="360"/>
      <c r="AS180" s="360"/>
      <c r="AT180" s="360"/>
      <c r="AU180" s="360"/>
      <c r="AV180" s="360"/>
      <c r="AW180" s="360"/>
      <c r="AX180" s="360"/>
      <c r="AY180" s="360"/>
      <c r="AZ180" s="360"/>
    </row>
    <row r="181" spans="1:52" ht="14.4" customHeight="1" x14ac:dyDescent="0.3">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c r="AN181" s="360"/>
      <c r="AO181" s="360"/>
      <c r="AP181" s="360"/>
      <c r="AQ181" s="360"/>
      <c r="AR181" s="360"/>
      <c r="AS181" s="360"/>
      <c r="AT181" s="360"/>
      <c r="AU181" s="360"/>
      <c r="AV181" s="360"/>
      <c r="AW181" s="360"/>
      <c r="AX181" s="360"/>
      <c r="AY181" s="360"/>
      <c r="AZ181" s="360"/>
    </row>
    <row r="182" spans="1:52" ht="14.4" customHeight="1" x14ac:dyDescent="0.3">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c r="AN182" s="360"/>
      <c r="AO182" s="360"/>
      <c r="AP182" s="360"/>
      <c r="AQ182" s="360"/>
      <c r="AR182" s="360"/>
      <c r="AS182" s="360"/>
      <c r="AT182" s="360"/>
      <c r="AU182" s="360"/>
      <c r="AV182" s="360"/>
      <c r="AW182" s="360"/>
      <c r="AX182" s="360"/>
      <c r="AY182" s="360"/>
      <c r="AZ182" s="360"/>
    </row>
    <row r="183" spans="1:52" ht="14.4" customHeight="1" x14ac:dyDescent="0.3">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c r="AN183" s="360"/>
      <c r="AO183" s="360"/>
      <c r="AP183" s="360"/>
      <c r="AQ183" s="360"/>
      <c r="AR183" s="360"/>
      <c r="AS183" s="360"/>
      <c r="AT183" s="360"/>
      <c r="AU183" s="360"/>
      <c r="AV183" s="360"/>
      <c r="AW183" s="360"/>
      <c r="AX183" s="360"/>
      <c r="AY183" s="360"/>
      <c r="AZ183" s="360"/>
    </row>
    <row r="184" spans="1:52" ht="14.4" customHeight="1" x14ac:dyDescent="0.3">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c r="AN184" s="360"/>
      <c r="AO184" s="360"/>
      <c r="AP184" s="360"/>
      <c r="AQ184" s="360"/>
      <c r="AR184" s="360"/>
      <c r="AS184" s="360"/>
      <c r="AT184" s="360"/>
      <c r="AU184" s="360"/>
      <c r="AV184" s="360"/>
      <c r="AW184" s="360"/>
      <c r="AX184" s="360"/>
      <c r="AY184" s="360"/>
      <c r="AZ184" s="360"/>
    </row>
    <row r="185" spans="1:52" ht="14.4" customHeight="1" x14ac:dyDescent="0.3">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c r="AN185" s="360"/>
      <c r="AO185" s="360"/>
      <c r="AP185" s="360"/>
      <c r="AQ185" s="360"/>
      <c r="AR185" s="360"/>
      <c r="AS185" s="360"/>
      <c r="AT185" s="360"/>
      <c r="AU185" s="360"/>
      <c r="AV185" s="360"/>
      <c r="AW185" s="360"/>
      <c r="AX185" s="360"/>
      <c r="AY185" s="360"/>
      <c r="AZ185" s="360"/>
    </row>
    <row r="186" spans="1:52" ht="14.4" customHeight="1" x14ac:dyDescent="0.3">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c r="AN186" s="360"/>
      <c r="AO186" s="360"/>
      <c r="AP186" s="360"/>
      <c r="AQ186" s="360"/>
      <c r="AR186" s="360"/>
      <c r="AS186" s="360"/>
      <c r="AT186" s="360"/>
      <c r="AU186" s="360"/>
      <c r="AV186" s="360"/>
      <c r="AW186" s="360"/>
      <c r="AX186" s="360"/>
      <c r="AY186" s="360"/>
      <c r="AZ186" s="360"/>
    </row>
    <row r="187" spans="1:52" ht="14.4" customHeight="1" x14ac:dyDescent="0.3">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c r="AN187" s="360"/>
      <c r="AO187" s="360"/>
      <c r="AP187" s="360"/>
      <c r="AQ187" s="360"/>
      <c r="AR187" s="360"/>
      <c r="AS187" s="360"/>
      <c r="AT187" s="360"/>
      <c r="AU187" s="360"/>
      <c r="AV187" s="360"/>
      <c r="AW187" s="360"/>
      <c r="AX187" s="360"/>
      <c r="AY187" s="360"/>
      <c r="AZ187" s="360"/>
    </row>
    <row r="188" spans="1:52" ht="14.4" customHeight="1" x14ac:dyDescent="0.3">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c r="AN188" s="360"/>
      <c r="AO188" s="360"/>
      <c r="AP188" s="360"/>
      <c r="AQ188" s="360"/>
      <c r="AR188" s="360"/>
      <c r="AS188" s="360"/>
      <c r="AT188" s="360"/>
      <c r="AU188" s="360"/>
      <c r="AV188" s="360"/>
      <c r="AW188" s="360"/>
      <c r="AX188" s="360"/>
      <c r="AY188" s="360"/>
      <c r="AZ188" s="360"/>
    </row>
    <row r="189" spans="1:52" ht="14.4" customHeight="1" x14ac:dyDescent="0.3">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c r="AN189" s="360"/>
      <c r="AO189" s="360"/>
      <c r="AP189" s="360"/>
      <c r="AQ189" s="360"/>
      <c r="AR189" s="360"/>
      <c r="AS189" s="360"/>
      <c r="AT189" s="360"/>
      <c r="AU189" s="360"/>
      <c r="AV189" s="360"/>
      <c r="AW189" s="360"/>
      <c r="AX189" s="360"/>
      <c r="AY189" s="360"/>
      <c r="AZ189" s="360"/>
    </row>
    <row r="190" spans="1:52" ht="14.4" customHeight="1" x14ac:dyDescent="0.3">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c r="AN190" s="360"/>
      <c r="AO190" s="360"/>
      <c r="AP190" s="360"/>
      <c r="AQ190" s="360"/>
      <c r="AR190" s="360"/>
      <c r="AS190" s="360"/>
      <c r="AT190" s="360"/>
      <c r="AU190" s="360"/>
      <c r="AV190" s="360"/>
      <c r="AW190" s="360"/>
      <c r="AX190" s="360"/>
      <c r="AY190" s="360"/>
      <c r="AZ190" s="360"/>
    </row>
    <row r="191" spans="1:52" ht="14.4" customHeight="1" x14ac:dyDescent="0.3">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c r="AN191" s="360"/>
      <c r="AO191" s="360"/>
      <c r="AP191" s="360"/>
      <c r="AQ191" s="360"/>
      <c r="AR191" s="360"/>
      <c r="AS191" s="360"/>
      <c r="AT191" s="360"/>
      <c r="AU191" s="360"/>
      <c r="AV191" s="360"/>
      <c r="AW191" s="360"/>
      <c r="AX191" s="360"/>
      <c r="AY191" s="360"/>
      <c r="AZ191" s="360"/>
    </row>
    <row r="192" spans="1:52" ht="14.4" customHeight="1" x14ac:dyDescent="0.3">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c r="AN192" s="360"/>
      <c r="AO192" s="360"/>
      <c r="AP192" s="360"/>
      <c r="AQ192" s="360"/>
      <c r="AR192" s="360"/>
      <c r="AS192" s="360"/>
      <c r="AT192" s="360"/>
      <c r="AU192" s="360"/>
      <c r="AV192" s="360"/>
      <c r="AW192" s="360"/>
      <c r="AX192" s="360"/>
      <c r="AY192" s="360"/>
      <c r="AZ192" s="360"/>
    </row>
    <row r="193" spans="1:52" ht="14.4" customHeight="1" x14ac:dyDescent="0.3">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c r="AN193" s="360"/>
      <c r="AO193" s="360"/>
      <c r="AP193" s="360"/>
      <c r="AQ193" s="360"/>
      <c r="AR193" s="360"/>
      <c r="AS193" s="360"/>
      <c r="AT193" s="360"/>
      <c r="AU193" s="360"/>
      <c r="AV193" s="360"/>
      <c r="AW193" s="360"/>
      <c r="AX193" s="360"/>
      <c r="AY193" s="360"/>
      <c r="AZ193" s="360"/>
    </row>
    <row r="194" spans="1:52" ht="14.4" customHeight="1" x14ac:dyDescent="0.3">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c r="AN194" s="360"/>
      <c r="AO194" s="360"/>
      <c r="AP194" s="360"/>
      <c r="AQ194" s="360"/>
      <c r="AR194" s="360"/>
      <c r="AS194" s="360"/>
      <c r="AT194" s="360"/>
      <c r="AU194" s="360"/>
      <c r="AV194" s="360"/>
      <c r="AW194" s="360"/>
      <c r="AX194" s="360"/>
      <c r="AY194" s="360"/>
      <c r="AZ194" s="360"/>
    </row>
    <row r="195" spans="1:52" ht="14.4" customHeight="1" x14ac:dyDescent="0.3">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c r="AN195" s="360"/>
      <c r="AO195" s="360"/>
      <c r="AP195" s="360"/>
      <c r="AQ195" s="360"/>
      <c r="AR195" s="360"/>
      <c r="AS195" s="360"/>
      <c r="AT195" s="360"/>
      <c r="AU195" s="360"/>
      <c r="AV195" s="360"/>
      <c r="AW195" s="360"/>
      <c r="AX195" s="360"/>
      <c r="AY195" s="360"/>
      <c r="AZ195" s="360"/>
    </row>
    <row r="196" spans="1:52" ht="0" hidden="1" customHeight="1" x14ac:dyDescent="0.3">
      <c r="X196" s="360"/>
      <c r="Y196" s="360"/>
      <c r="Z196" s="360"/>
      <c r="AA196" s="360"/>
      <c r="AB196" s="360"/>
      <c r="AC196" s="360"/>
      <c r="AD196" s="360"/>
      <c r="AE196" s="360"/>
      <c r="AF196" s="360"/>
      <c r="AG196" s="360"/>
      <c r="AH196" s="360"/>
      <c r="AI196" s="360"/>
      <c r="AJ196" s="360"/>
      <c r="AK196" s="360"/>
      <c r="AL196" s="360"/>
      <c r="AM196" s="360"/>
      <c r="AN196" s="360"/>
      <c r="AO196" s="360"/>
      <c r="AP196" s="360"/>
      <c r="AQ196" s="360"/>
      <c r="AR196" s="360"/>
      <c r="AS196" s="360"/>
      <c r="AT196" s="360"/>
      <c r="AU196" s="360"/>
      <c r="AV196" s="360"/>
      <c r="AW196" s="360"/>
      <c r="AX196" s="360"/>
      <c r="AY196" s="360"/>
      <c r="AZ196" s="360"/>
    </row>
    <row r="197" spans="1:52" ht="0" hidden="1" customHeight="1" x14ac:dyDescent="0.3">
      <c r="X197" s="360"/>
      <c r="Y197" s="360"/>
      <c r="Z197" s="360"/>
      <c r="AA197" s="360"/>
      <c r="AB197" s="360"/>
      <c r="AC197" s="360"/>
      <c r="AD197" s="360"/>
      <c r="AE197" s="360"/>
      <c r="AF197" s="360"/>
      <c r="AG197" s="360"/>
      <c r="AH197" s="360"/>
      <c r="AI197" s="360"/>
      <c r="AJ197" s="360"/>
      <c r="AK197" s="360"/>
      <c r="AL197" s="360"/>
      <c r="AM197" s="360"/>
      <c r="AN197" s="360"/>
      <c r="AO197" s="360"/>
      <c r="AP197" s="360"/>
      <c r="AQ197" s="360"/>
      <c r="AR197" s="360"/>
      <c r="AS197" s="360"/>
      <c r="AT197" s="360"/>
      <c r="AU197" s="360"/>
      <c r="AV197" s="360"/>
      <c r="AW197" s="360"/>
      <c r="AX197" s="360"/>
      <c r="AY197" s="360"/>
      <c r="AZ197" s="360"/>
    </row>
    <row r="198" spans="1:52" ht="0" hidden="1" customHeight="1" x14ac:dyDescent="0.3">
      <c r="X198" s="360"/>
      <c r="Y198" s="360"/>
      <c r="Z198" s="360"/>
      <c r="AA198" s="360"/>
      <c r="AB198" s="360"/>
      <c r="AC198" s="360"/>
      <c r="AD198" s="360"/>
      <c r="AE198" s="360"/>
      <c r="AF198" s="360"/>
      <c r="AG198" s="360"/>
      <c r="AH198" s="360"/>
      <c r="AI198" s="360"/>
      <c r="AJ198" s="360"/>
      <c r="AK198" s="360"/>
      <c r="AL198" s="360"/>
      <c r="AM198" s="360"/>
      <c r="AN198" s="360"/>
      <c r="AO198" s="360"/>
      <c r="AP198" s="360"/>
      <c r="AQ198" s="360"/>
      <c r="AR198" s="360"/>
      <c r="AS198" s="360"/>
      <c r="AT198" s="360"/>
      <c r="AU198" s="360"/>
      <c r="AV198" s="360"/>
      <c r="AW198" s="360"/>
      <c r="AX198" s="360"/>
      <c r="AY198" s="360"/>
      <c r="AZ198" s="360"/>
    </row>
    <row r="199" spans="1:52" ht="0" hidden="1" customHeight="1" x14ac:dyDescent="0.3">
      <c r="X199" s="360"/>
      <c r="Y199" s="360"/>
      <c r="Z199" s="360"/>
      <c r="AA199" s="360"/>
      <c r="AB199" s="360"/>
      <c r="AC199" s="360"/>
      <c r="AD199" s="360"/>
      <c r="AE199" s="360"/>
      <c r="AF199" s="360"/>
      <c r="AG199" s="360"/>
      <c r="AH199" s="360"/>
      <c r="AI199" s="360"/>
      <c r="AJ199" s="360"/>
      <c r="AK199" s="360"/>
      <c r="AL199" s="360"/>
      <c r="AM199" s="360"/>
      <c r="AN199" s="360"/>
      <c r="AO199" s="360"/>
      <c r="AP199" s="360"/>
      <c r="AQ199" s="360"/>
      <c r="AR199" s="360"/>
      <c r="AS199" s="360"/>
      <c r="AT199" s="360"/>
      <c r="AU199" s="360"/>
      <c r="AV199" s="360"/>
      <c r="AW199" s="360"/>
      <c r="AX199" s="360"/>
      <c r="AY199" s="360"/>
      <c r="AZ199" s="360"/>
    </row>
    <row r="200" spans="1:52" ht="0" hidden="1" customHeight="1" x14ac:dyDescent="0.3">
      <c r="X200" s="360"/>
      <c r="Y200" s="360"/>
      <c r="Z200" s="360"/>
      <c r="AA200" s="360"/>
      <c r="AB200" s="360"/>
      <c r="AC200" s="360"/>
      <c r="AD200" s="360"/>
      <c r="AE200" s="360"/>
      <c r="AF200" s="360"/>
      <c r="AG200" s="360"/>
      <c r="AH200" s="360"/>
      <c r="AI200" s="360"/>
      <c r="AJ200" s="360"/>
      <c r="AK200" s="360"/>
      <c r="AL200" s="360"/>
      <c r="AM200" s="360"/>
      <c r="AN200" s="360"/>
      <c r="AO200" s="360"/>
      <c r="AP200" s="360"/>
      <c r="AQ200" s="360"/>
      <c r="AR200" s="360"/>
      <c r="AS200" s="360"/>
      <c r="AT200" s="360"/>
      <c r="AU200" s="360"/>
      <c r="AV200" s="360"/>
      <c r="AW200" s="360"/>
      <c r="AX200" s="360"/>
      <c r="AY200" s="360"/>
      <c r="AZ200" s="360"/>
    </row>
    <row r="201" spans="1:52" ht="0" hidden="1" customHeight="1" x14ac:dyDescent="0.3"/>
    <row r="202" spans="1:52" ht="0" hidden="1" customHeight="1" x14ac:dyDescent="0.3"/>
    <row r="203" spans="1:52" ht="0" hidden="1" customHeight="1" x14ac:dyDescent="0.3"/>
    <row r="204" spans="1:52" ht="0" hidden="1" customHeight="1" x14ac:dyDescent="0.3"/>
    <row r="205" spans="1:52" ht="0" hidden="1" customHeight="1" x14ac:dyDescent="0.3"/>
  </sheetData>
  <conditionalFormatting sqref="B1">
    <cfRule type="cellIs" dxfId="161" priority="1" operator="equal">
      <formula>"Review Later"</formula>
    </cfRule>
    <cfRule type="cellIs" dxfId="160" priority="2" operator="equal">
      <formula>"Finished"</formula>
    </cfRule>
    <cfRule type="cellIs" dxfId="159" priority="3" operator="equal">
      <formula>"Incomplete"</formula>
    </cfRule>
  </conditionalFormatting>
  <pageMargins left="0.7" right="0.7" top="0.75" bottom="0.75" header="0.51180555555555496" footer="0.51180555555555496"/>
  <pageSetup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C210"/>
  <sheetViews>
    <sheetView zoomScaleNormal="100" workbookViewId="0"/>
  </sheetViews>
  <sheetFormatPr defaultColWidth="0" defaultRowHeight="13.8" zeroHeight="1" x14ac:dyDescent="0.25"/>
  <cols>
    <col min="1" max="1" width="11.6640625" style="1" customWidth="1"/>
    <col min="2" max="2" width="15.6640625" style="1" customWidth="1"/>
    <col min="3" max="52" width="12.109375" style="1" customWidth="1"/>
    <col min="53" max="55" width="0" style="1" hidden="1" customWidth="1"/>
    <col min="56" max="16384" width="12.109375" style="1" hidden="1"/>
  </cols>
  <sheetData>
    <row r="1" spans="1:52" ht="14.7" customHeight="1" thickBot="1" x14ac:dyDescent="0.3">
      <c r="A1" s="3">
        <v>1</v>
      </c>
      <c r="B1" s="4"/>
      <c r="C1" s="5"/>
      <c r="D1" s="5"/>
      <c r="E1" s="5"/>
      <c r="F1" s="5"/>
      <c r="G1" s="5"/>
      <c r="H1" s="5"/>
      <c r="I1" s="5"/>
      <c r="J1" s="5"/>
      <c r="K1" s="6"/>
      <c r="L1" s="7" t="s">
        <v>0</v>
      </c>
      <c r="M1" s="7"/>
      <c r="N1" s="7"/>
      <c r="O1" s="7"/>
      <c r="P1" s="7"/>
      <c r="Q1" s="7"/>
      <c r="R1" s="7"/>
      <c r="S1" s="7"/>
      <c r="T1" s="7"/>
      <c r="U1" s="7"/>
      <c r="V1" s="7"/>
      <c r="W1" s="7"/>
    </row>
    <row r="2" spans="1:52" ht="14.7" customHeight="1" thickBot="1" x14ac:dyDescent="0.3">
      <c r="A2" s="8" t="s">
        <v>4</v>
      </c>
      <c r="B2" s="9"/>
      <c r="C2" s="9"/>
      <c r="D2" s="9"/>
      <c r="E2" s="9"/>
      <c r="F2" s="9"/>
      <c r="G2" s="9"/>
      <c r="H2" s="9"/>
      <c r="I2" s="9"/>
      <c r="J2" s="9"/>
      <c r="K2" s="10"/>
      <c r="L2" s="7" t="s">
        <v>43</v>
      </c>
      <c r="M2" s="7"/>
      <c r="N2" s="7"/>
      <c r="O2" s="7"/>
      <c r="P2" s="7"/>
      <c r="Q2" s="7"/>
      <c r="R2" s="7"/>
      <c r="S2" s="7"/>
      <c r="T2" s="7"/>
      <c r="U2" s="7"/>
      <c r="V2" s="7"/>
      <c r="W2" s="7"/>
    </row>
    <row r="3" spans="1:52" ht="14.7" customHeight="1" thickBot="1" x14ac:dyDescent="0.3">
      <c r="A3" s="11">
        <v>1.5</v>
      </c>
      <c r="B3" s="9"/>
      <c r="C3" s="9"/>
      <c r="D3" s="9"/>
      <c r="E3" s="9"/>
      <c r="F3" s="9"/>
      <c r="G3" s="9"/>
      <c r="H3" s="9"/>
      <c r="I3" s="9"/>
      <c r="J3" s="9"/>
      <c r="K3" s="10"/>
      <c r="L3" s="35">
        <f>0.5*2+2</f>
        <v>3</v>
      </c>
      <c r="M3" s="7"/>
      <c r="N3" s="7"/>
      <c r="O3" s="7"/>
      <c r="P3" s="7"/>
      <c r="Q3" s="7"/>
      <c r="R3" s="7"/>
      <c r="S3" s="7"/>
      <c r="T3" s="7"/>
      <c r="U3" s="7"/>
      <c r="V3" s="7"/>
      <c r="W3" s="7"/>
    </row>
    <row r="4" spans="1:52" ht="14.7" customHeight="1" x14ac:dyDescent="0.25">
      <c r="A4" s="11"/>
      <c r="B4" s="9" t="s">
        <v>5</v>
      </c>
      <c r="C4" s="9"/>
      <c r="D4" s="9"/>
      <c r="E4" s="9"/>
      <c r="F4" s="9"/>
      <c r="G4" s="9"/>
      <c r="H4" s="9"/>
      <c r="I4" s="9"/>
      <c r="J4" s="9"/>
      <c r="K4" s="10"/>
      <c r="L4" s="7"/>
      <c r="M4" s="7"/>
      <c r="N4" s="7"/>
      <c r="O4" s="7"/>
      <c r="P4" s="7"/>
      <c r="Q4" s="7"/>
      <c r="R4" s="7"/>
      <c r="S4" s="7"/>
      <c r="T4" s="7"/>
      <c r="U4" s="7"/>
      <c r="V4" s="7"/>
      <c r="W4" s="7"/>
    </row>
    <row r="5" spans="1:52" ht="14.7" customHeight="1" thickBot="1" x14ac:dyDescent="0.3">
      <c r="A5" s="11"/>
      <c r="B5" s="12"/>
      <c r="C5" s="9"/>
      <c r="D5" s="9"/>
      <c r="E5" s="9"/>
      <c r="F5" s="9"/>
      <c r="G5" s="9"/>
      <c r="H5" s="9"/>
      <c r="I5" s="9"/>
      <c r="J5" s="9"/>
      <c r="K5" s="10"/>
      <c r="L5" s="7" t="s">
        <v>1</v>
      </c>
      <c r="M5" s="7"/>
      <c r="N5" s="7"/>
      <c r="O5" s="7"/>
      <c r="P5" s="7"/>
      <c r="Q5" s="7"/>
      <c r="R5" s="7"/>
      <c r="S5" s="7"/>
      <c r="T5" s="7"/>
      <c r="U5" s="7"/>
      <c r="V5" s="7"/>
      <c r="W5" s="7"/>
    </row>
    <row r="6" spans="1:52" ht="14.7" customHeight="1" thickBot="1" x14ac:dyDescent="0.3">
      <c r="A6" s="11"/>
      <c r="B6" s="12" t="s">
        <v>6</v>
      </c>
      <c r="C6" s="9"/>
      <c r="D6" s="9"/>
      <c r="E6" s="9"/>
      <c r="F6" s="9"/>
      <c r="G6" s="13"/>
      <c r="H6" s="13"/>
      <c r="I6" s="13"/>
      <c r="J6" s="13"/>
      <c r="K6" s="14"/>
      <c r="L6" s="35">
        <f>2*(9/12)+2*(6/12)</f>
        <v>2.5</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thickBot="1" x14ac:dyDescent="0.3">
      <c r="A8" s="11"/>
      <c r="B8" s="12" t="s">
        <v>8</v>
      </c>
      <c r="C8" s="9"/>
      <c r="D8" s="9"/>
      <c r="E8" s="9"/>
      <c r="F8" s="9"/>
      <c r="G8" s="13"/>
      <c r="H8" s="13"/>
      <c r="I8" s="13"/>
      <c r="J8" s="13"/>
      <c r="K8" s="14"/>
      <c r="L8" s="7" t="s">
        <v>2</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thickBot="1" x14ac:dyDescent="0.3">
      <c r="A9" s="11"/>
      <c r="B9" s="15" t="s">
        <v>9</v>
      </c>
      <c r="C9" s="9"/>
      <c r="D9" s="9"/>
      <c r="E9" s="9"/>
      <c r="F9" s="9"/>
      <c r="G9" s="13"/>
      <c r="H9" s="13"/>
      <c r="I9" s="13"/>
      <c r="J9" s="13"/>
      <c r="K9" s="14"/>
      <c r="L9" s="35">
        <f>4</f>
        <v>4</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v>0.25</v>
      </c>
      <c r="B11" s="9" t="s">
        <v>10</v>
      </c>
      <c r="C11" s="9"/>
      <c r="D11" s="9"/>
      <c r="E11" s="9"/>
      <c r="F11" s="9"/>
      <c r="G11" s="13"/>
      <c r="H11" s="13"/>
      <c r="I11" s="13"/>
      <c r="J11" s="13"/>
      <c r="K11" s="10"/>
      <c r="L11" s="7" t="s">
        <v>3</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19" t="s">
        <v>11</v>
      </c>
      <c r="C12" s="9"/>
      <c r="D12" s="9"/>
      <c r="E12" s="9"/>
      <c r="F12" s="9"/>
      <c r="G12" s="13"/>
      <c r="H12" s="13"/>
      <c r="I12" s="13"/>
      <c r="J12" s="13"/>
      <c r="K12" s="10"/>
      <c r="L12" s="7" t="s">
        <v>44</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19"/>
      <c r="C13" s="9"/>
      <c r="D13" s="9"/>
      <c r="E13" s="9"/>
      <c r="F13" s="9"/>
      <c r="G13" s="13"/>
      <c r="H13" s="13"/>
      <c r="I13" s="13"/>
      <c r="J13" s="13"/>
      <c r="K13" s="10"/>
      <c r="L13" s="7" t="s">
        <v>45</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7" customHeight="1" x14ac:dyDescent="0.25">
      <c r="A14" s="11">
        <v>0.25</v>
      </c>
      <c r="B14" s="9" t="s">
        <v>1</v>
      </c>
      <c r="C14" s="9"/>
      <c r="D14" s="9"/>
      <c r="E14" s="9"/>
      <c r="F14" s="9"/>
      <c r="G14" s="9"/>
      <c r="H14" s="9"/>
      <c r="I14" s="9"/>
      <c r="J14" s="9"/>
      <c r="K14" s="10"/>
      <c r="L14" s="7" t="s">
        <v>46</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7" customHeight="1" x14ac:dyDescent="0.25">
      <c r="A15" s="11"/>
      <c r="B15" s="9" t="s">
        <v>12</v>
      </c>
      <c r="C15" s="9"/>
      <c r="D15" s="9"/>
      <c r="E15" s="9"/>
      <c r="F15" s="9"/>
      <c r="G15" s="9"/>
      <c r="H15" s="9"/>
      <c r="I15" s="9"/>
      <c r="J15" s="9"/>
      <c r="K15" s="10"/>
      <c r="L15" s="7" t="s">
        <v>47</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7" customHeight="1" x14ac:dyDescent="0.25">
      <c r="A16" s="11"/>
      <c r="B16" s="9"/>
      <c r="C16" s="9"/>
      <c r="D16" s="9"/>
      <c r="E16" s="9"/>
      <c r="F16" s="9"/>
      <c r="G16" s="9"/>
      <c r="H16" s="9"/>
      <c r="I16" s="9"/>
      <c r="J16" s="9"/>
      <c r="K16" s="10"/>
      <c r="L16" s="17" t="s">
        <v>48</v>
      </c>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7" customHeight="1" x14ac:dyDescent="0.25">
      <c r="A17" s="11">
        <v>0.25</v>
      </c>
      <c r="B17" s="9" t="s">
        <v>2</v>
      </c>
      <c r="C17" s="9"/>
      <c r="D17" s="22"/>
      <c r="E17" s="23"/>
      <c r="F17" s="23"/>
      <c r="G17" s="24"/>
      <c r="H17" s="9"/>
      <c r="I17" s="9"/>
      <c r="J17" s="9"/>
      <c r="K17" s="10"/>
      <c r="L17" s="17" t="s">
        <v>49</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x14ac:dyDescent="0.25">
      <c r="A18" s="11"/>
      <c r="B18" s="19" t="s">
        <v>13</v>
      </c>
      <c r="C18" s="9"/>
      <c r="D18" s="25"/>
      <c r="E18" s="25"/>
      <c r="F18" s="25"/>
      <c r="G18" s="25"/>
      <c r="H18" s="25"/>
      <c r="I18" s="25"/>
      <c r="J18" s="25"/>
      <c r="K18" s="26"/>
      <c r="L18" s="17" t="s">
        <v>50</v>
      </c>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x14ac:dyDescent="0.25">
      <c r="A19" s="11"/>
      <c r="B19" s="19"/>
      <c r="C19" s="9"/>
      <c r="D19" s="25"/>
      <c r="E19" s="25"/>
      <c r="F19" s="25"/>
      <c r="G19" s="25"/>
      <c r="H19" s="25"/>
      <c r="I19" s="25"/>
      <c r="J19" s="25"/>
      <c r="K19" s="26"/>
      <c r="L19" s="17" t="s">
        <v>51</v>
      </c>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x14ac:dyDescent="0.25">
      <c r="A20" s="11">
        <v>0.75</v>
      </c>
      <c r="B20" s="19" t="s">
        <v>14</v>
      </c>
      <c r="C20" s="9"/>
      <c r="D20" s="25"/>
      <c r="E20" s="25"/>
      <c r="F20" s="25"/>
      <c r="G20" s="25"/>
      <c r="H20" s="25"/>
      <c r="I20" s="25"/>
      <c r="J20" s="25"/>
      <c r="K20" s="26"/>
      <c r="L20" s="17" t="s">
        <v>52</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x14ac:dyDescent="0.25">
      <c r="A21" s="11"/>
      <c r="B21" s="19" t="s">
        <v>15</v>
      </c>
      <c r="C21" s="9"/>
      <c r="D21" s="25"/>
      <c r="E21" s="25"/>
      <c r="F21" s="25"/>
      <c r="G21" s="25"/>
      <c r="H21" s="25"/>
      <c r="I21" s="25"/>
      <c r="J21" s="25"/>
      <c r="K21" s="26"/>
      <c r="L21" s="20" t="s">
        <v>53</v>
      </c>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thickBot="1" x14ac:dyDescent="0.3">
      <c r="A22" s="28"/>
      <c r="B22" s="29"/>
      <c r="C22" s="30"/>
      <c r="D22" s="31"/>
      <c r="E22" s="31"/>
      <c r="F22" s="31"/>
      <c r="G22" s="31"/>
      <c r="H22" s="31"/>
      <c r="I22" s="31"/>
      <c r="J22" s="31"/>
      <c r="K22" s="32"/>
      <c r="L22" s="20" t="s">
        <v>54</v>
      </c>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7"/>
      <c r="B23" s="7"/>
      <c r="C23" s="7"/>
      <c r="D23" s="7"/>
      <c r="E23" s="7"/>
      <c r="F23" s="7"/>
      <c r="G23" s="7"/>
      <c r="H23" s="7"/>
      <c r="I23" s="7"/>
      <c r="J23" s="7"/>
      <c r="K23" s="7"/>
      <c r="L23" s="7" t="s">
        <v>55</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x14ac:dyDescent="0.25">
      <c r="A24" s="7"/>
      <c r="B24" s="7"/>
      <c r="C24" s="7"/>
      <c r="D24" s="7"/>
      <c r="E24" s="7"/>
      <c r="F24" s="7"/>
      <c r="G24" s="7"/>
      <c r="H24" s="7"/>
      <c r="I24" s="7"/>
      <c r="J24" s="7"/>
      <c r="K24" s="7"/>
      <c r="L24" s="7" t="s">
        <v>56</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x14ac:dyDescent="0.25"/>
    <row r="202" spans="1:52" hidden="1" x14ac:dyDescent="0.25"/>
    <row r="203" spans="1:52" hidden="1" x14ac:dyDescent="0.25"/>
    <row r="204" spans="1:52" hidden="1" x14ac:dyDescent="0.25"/>
    <row r="205" spans="1:52" hidden="1" x14ac:dyDescent="0.25"/>
    <row r="206" spans="1:52" x14ac:dyDescent="0.25"/>
    <row r="207" spans="1:52" x14ac:dyDescent="0.25"/>
    <row r="208" spans="1:52" x14ac:dyDescent="0.25"/>
    <row r="209" x14ac:dyDescent="0.25"/>
    <row r="210" x14ac:dyDescent="0.25"/>
  </sheetData>
  <conditionalFormatting sqref="B1">
    <cfRule type="cellIs" dxfId="240" priority="1" operator="equal">
      <formula>"Review Later"</formula>
    </cfRule>
    <cfRule type="cellIs" dxfId="239" priority="2" operator="equal">
      <formula>"Finished"</formula>
    </cfRule>
    <cfRule type="cellIs" dxfId="238" priority="3" operator="equal">
      <formula>"Incomplete"</formula>
    </cfRule>
  </conditionalFormatting>
  <pageMargins left="0.7" right="0.7" top="0.75" bottom="0.75" header="0.3" footer="0.3"/>
  <pageSetup orientation="portrait"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t="s">
        <v>0</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t="s">
        <v>355</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t="s">
        <v>356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t="s">
        <v>1</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t="s">
        <v>357</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t="s">
        <v>358</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58" priority="1" operator="equal">
      <formula>"Review Later"</formula>
    </cfRule>
    <cfRule type="cellIs" dxfId="157" priority="2" operator="equal">
      <formula>"Finished"</formula>
    </cfRule>
    <cfRule type="cellIs" dxfId="156" priority="3" operator="equal">
      <formula>"Incomplete"</formula>
    </cfRule>
  </conditionalFormatting>
  <pageMargins left="0.7" right="0.7" top="0.75" bottom="0.75" header="0.51180555555555496" footer="0.51180555555555496"/>
  <pageSetup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C205"/>
  <sheetViews>
    <sheetView zoomScaleNormal="100" zoomScalePageLayoutView="8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t="s">
        <v>280</v>
      </c>
      <c r="B15" s="7" t="s">
        <v>346</v>
      </c>
      <c r="C15" s="7" t="s">
        <v>359</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t="s">
        <v>360</v>
      </c>
      <c r="C16" s="7" t="s">
        <v>361</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t="s">
        <v>298</v>
      </c>
      <c r="B18" s="7" t="s">
        <v>362</v>
      </c>
      <c r="C18" s="7" t="s">
        <v>363</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t="s">
        <v>352</v>
      </c>
      <c r="C19" s="7" t="s">
        <v>364</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55" priority="1" operator="equal">
      <formula>"Review Later"</formula>
    </cfRule>
    <cfRule type="cellIs" dxfId="154" priority="2" operator="equal">
      <formula>"Finished"</formula>
    </cfRule>
    <cfRule type="cellIs" dxfId="153" priority="3" operator="equal">
      <formula>"Incomplete"</formula>
    </cfRule>
  </conditionalFormatting>
  <pageMargins left="0.7" right="0.7" top="0.75" bottom="0.75" header="0.51180555555555496" footer="0.51180555555555496"/>
  <pageSetup firstPageNumber="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c r="B14" s="7" t="s">
        <v>280</v>
      </c>
      <c r="C14" s="7" t="s">
        <v>365</v>
      </c>
      <c r="D14" s="7" t="s">
        <v>366</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t="s">
        <v>367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t="s">
        <v>298</v>
      </c>
      <c r="C16" s="7" t="s">
        <v>368</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t="s">
        <v>369</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52" priority="1" operator="equal">
      <formula>"Review Later"</formula>
    </cfRule>
    <cfRule type="cellIs" dxfId="151" priority="2" operator="equal">
      <formula>"Finished"</formula>
    </cfRule>
    <cfRule type="cellIs" dxfId="150" priority="3" operator="equal">
      <formula>"Incomplete"</formula>
    </cfRule>
  </conditionalFormatting>
  <pageMargins left="0.7" right="0.7" top="0.75" bottom="0.75" header="0.51180555555555496" footer="0.51180555555555496"/>
  <pageSetup firstPageNumber="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t="s">
        <v>280</v>
      </c>
      <c r="B14" s="7" t="s">
        <v>370</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t="s">
        <v>371</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t="s">
        <v>372</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t="s">
        <v>298</v>
      </c>
      <c r="B19" s="7" t="s">
        <v>373</v>
      </c>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t="s">
        <v>374</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t="s">
        <v>375</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49" priority="1" operator="equal">
      <formula>"Review Later"</formula>
    </cfRule>
    <cfRule type="cellIs" dxfId="148" priority="2" operator="equal">
      <formula>"Finished"</formula>
    </cfRule>
    <cfRule type="cellIs" dxfId="147" priority="3" operator="equal">
      <formula>"Incomplete"</formula>
    </cfRule>
  </conditionalFormatting>
  <pageMargins left="0.7" right="0.7" top="0.75" bottom="0.75" header="0.51180555555555496" footer="0.51180555555555496"/>
  <pageSetup firstPageNumber="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t="s">
        <v>0</v>
      </c>
      <c r="B14" s="7" t="s">
        <v>346</v>
      </c>
      <c r="C14" s="7" t="s">
        <v>376</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t="s">
        <v>377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t="s">
        <v>378</v>
      </c>
      <c r="C17" s="7" t="s">
        <v>379</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t="s">
        <v>380</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t="s">
        <v>1</v>
      </c>
      <c r="B20" s="7" t="s">
        <v>362</v>
      </c>
      <c r="C20" s="7" t="s">
        <v>381</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t="s">
        <v>382</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t="s">
        <v>383</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t="s">
        <v>384</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t="s">
        <v>350</v>
      </c>
      <c r="C25" s="7" t="s">
        <v>385</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t="s">
        <v>386</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t="s">
        <v>387</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46" priority="1" operator="equal">
      <formula>"Review Later"</formula>
    </cfRule>
    <cfRule type="cellIs" dxfId="145" priority="2" operator="equal">
      <formula>"Finished"</formula>
    </cfRule>
    <cfRule type="cellIs" dxfId="144" priority="3" operator="equal">
      <formula>"Incomplete"</formula>
    </cfRule>
  </conditionalFormatting>
  <pageMargins left="0.7" right="0.7" top="0.75" bottom="0.75" header="0.51180555555555496" footer="0.51180555555555496"/>
  <pageSetup firstPageNumber="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C205"/>
  <sheetViews>
    <sheetView zoomScaleNormal="100" zoomScalePageLayoutView="7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t="s">
        <v>0</v>
      </c>
      <c r="K1" s="7" t="s">
        <v>388</v>
      </c>
      <c r="L1" s="7"/>
      <c r="M1" s="7"/>
      <c r="N1" s="7"/>
      <c r="O1" s="7"/>
      <c r="P1" s="7"/>
      <c r="Q1" s="7"/>
      <c r="R1" s="7"/>
      <c r="S1" s="7"/>
      <c r="T1" s="7"/>
      <c r="U1" s="7"/>
      <c r="V1" s="7"/>
      <c r="W1" s="7"/>
    </row>
    <row r="2" spans="1:52" ht="14.4" customHeight="1" x14ac:dyDescent="0.25">
      <c r="A2" s="8" t="s">
        <v>4</v>
      </c>
      <c r="B2" s="9"/>
      <c r="C2" s="9"/>
      <c r="D2" s="9"/>
      <c r="E2" s="9"/>
      <c r="F2" s="9"/>
      <c r="G2" s="9"/>
      <c r="H2" s="9"/>
      <c r="I2" s="14"/>
      <c r="J2" s="7"/>
      <c r="K2" s="7" t="s">
        <v>389</v>
      </c>
      <c r="L2" s="7"/>
      <c r="M2" s="7"/>
      <c r="N2" s="7"/>
      <c r="O2" s="7"/>
      <c r="P2" s="7"/>
      <c r="Q2" s="7"/>
      <c r="R2" s="7"/>
      <c r="S2" s="7"/>
      <c r="T2" s="7"/>
      <c r="U2" s="7"/>
      <c r="V2" s="7"/>
      <c r="W2" s="7"/>
    </row>
    <row r="3" spans="1:52" ht="14.4" customHeight="1" x14ac:dyDescent="0.25">
      <c r="A3" s="11">
        <v>2</v>
      </c>
      <c r="B3" s="9"/>
      <c r="C3" s="9"/>
      <c r="D3" s="9"/>
      <c r="E3" s="9"/>
      <c r="F3" s="9"/>
      <c r="G3" s="9"/>
      <c r="H3" s="9"/>
      <c r="I3" s="14"/>
      <c r="J3" s="7"/>
      <c r="K3" s="7" t="s">
        <v>390</v>
      </c>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t="s">
        <v>391</v>
      </c>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t="s">
        <v>392</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t="s">
        <v>393</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t="s">
        <v>394</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t="s">
        <v>395</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t="s">
        <v>1</v>
      </c>
      <c r="K13" s="7" t="s">
        <v>396</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c r="B14" s="7"/>
      <c r="C14" s="7"/>
      <c r="D14" s="7"/>
      <c r="E14" s="7"/>
      <c r="F14" s="7"/>
      <c r="G14" s="7"/>
      <c r="H14" s="7"/>
      <c r="I14" s="7"/>
      <c r="J14" s="7"/>
      <c r="K14" s="7" t="s">
        <v>397</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c r="D15" s="7"/>
      <c r="E15" s="7"/>
      <c r="F15" s="7"/>
      <c r="G15" s="7"/>
      <c r="H15" s="7"/>
      <c r="I15" s="7"/>
      <c r="J15" s="7"/>
      <c r="K15" s="7" t="s">
        <v>398</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c r="C16" s="7"/>
      <c r="D16" s="7"/>
      <c r="E16" s="7"/>
      <c r="F16" s="7"/>
      <c r="G16" s="7"/>
      <c r="H16" s="7"/>
      <c r="I16" s="7"/>
      <c r="J16" s="7"/>
      <c r="K16" s="7" t="s">
        <v>399</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c r="C19" s="7"/>
      <c r="D19" s="7"/>
      <c r="E19" s="7"/>
      <c r="F19" s="7"/>
      <c r="G19" s="7"/>
      <c r="H19" s="7"/>
      <c r="I19" s="7"/>
      <c r="J19" s="7"/>
      <c r="K19" s="7" t="s">
        <v>400</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c r="D20" s="7"/>
      <c r="E20" s="7"/>
      <c r="F20" s="7"/>
      <c r="G20" s="7"/>
      <c r="H20" s="7"/>
      <c r="I20" s="7"/>
      <c r="J20" s="7"/>
      <c r="K20" s="7" t="s">
        <v>401</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t="s">
        <v>402</v>
      </c>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43" priority="1" operator="equal">
      <formula>"Review Later"</formula>
    </cfRule>
    <cfRule type="cellIs" dxfId="142" priority="2" operator="equal">
      <formula>"Finished"</formula>
    </cfRule>
    <cfRule type="cellIs" dxfId="141" priority="3" operator="equal">
      <formula>"Incomplete"</formula>
    </cfRule>
  </conditionalFormatting>
  <pageMargins left="0.7" right="0.7" top="0.75" bottom="0.75" header="0.51180555555555496" footer="0.51180555555555496"/>
  <pageSetup firstPageNumber="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C205"/>
  <sheetViews>
    <sheetView zoomScaleNormal="100" workbookViewId="0"/>
  </sheetViews>
  <sheetFormatPr defaultColWidth="0" defaultRowHeight="0" customHeight="1" zeroHeight="1" x14ac:dyDescent="0.25"/>
  <cols>
    <col min="1" max="1" width="11.6640625" style="1" customWidth="1"/>
    <col min="2" max="2" width="15.44140625" style="1" customWidth="1"/>
    <col min="3" max="52" width="10.6640625" style="1" customWidth="1"/>
    <col min="53" max="55" width="0" style="1" hidden="1" customWidth="1"/>
    <col min="56" max="16384" width="10.6640625" style="1" hidden="1"/>
  </cols>
  <sheetData>
    <row r="1" spans="1:52" ht="14.4" customHeight="1" thickBot="1" x14ac:dyDescent="0.3">
      <c r="A1" s="3">
        <v>10</v>
      </c>
      <c r="B1" s="4"/>
      <c r="C1" s="5"/>
      <c r="D1" s="5"/>
      <c r="E1" s="5"/>
      <c r="F1" s="5"/>
      <c r="G1" s="5"/>
      <c r="H1" s="5"/>
      <c r="I1" s="354"/>
      <c r="J1" s="7"/>
      <c r="K1" s="7"/>
      <c r="L1" s="7"/>
      <c r="M1" s="7"/>
      <c r="N1" s="7"/>
      <c r="O1" s="7"/>
      <c r="P1" s="7"/>
      <c r="Q1" s="7"/>
      <c r="R1" s="7"/>
      <c r="S1" s="7"/>
      <c r="T1" s="7"/>
      <c r="U1" s="7"/>
      <c r="V1" s="7"/>
      <c r="W1" s="7"/>
    </row>
    <row r="2" spans="1:52" ht="14.4" customHeight="1" x14ac:dyDescent="0.25">
      <c r="A2" s="8" t="s">
        <v>4</v>
      </c>
      <c r="B2" s="9"/>
      <c r="C2" s="9"/>
      <c r="D2" s="9"/>
      <c r="E2" s="9"/>
      <c r="F2" s="9"/>
      <c r="G2" s="9"/>
      <c r="H2" s="9"/>
      <c r="I2" s="14"/>
      <c r="J2" s="7"/>
      <c r="K2" s="7"/>
      <c r="L2" s="7"/>
      <c r="M2" s="7"/>
      <c r="N2" s="7"/>
      <c r="O2" s="7"/>
      <c r="P2" s="7"/>
      <c r="Q2" s="7"/>
      <c r="R2" s="7"/>
      <c r="S2" s="7"/>
      <c r="T2" s="7"/>
      <c r="U2" s="7"/>
      <c r="V2" s="7"/>
      <c r="W2" s="7"/>
    </row>
    <row r="3" spans="1:52" ht="14.4" customHeight="1" x14ac:dyDescent="0.25">
      <c r="A3" s="11">
        <v>2</v>
      </c>
      <c r="B3" s="9"/>
      <c r="C3" s="9"/>
      <c r="D3" s="9"/>
      <c r="E3" s="9"/>
      <c r="F3" s="9"/>
      <c r="G3" s="9"/>
      <c r="H3" s="9"/>
      <c r="I3" s="14"/>
      <c r="J3" s="7"/>
      <c r="K3" s="7"/>
      <c r="L3" s="7"/>
      <c r="M3" s="7"/>
      <c r="N3" s="7"/>
      <c r="O3" s="7"/>
      <c r="P3" s="7"/>
      <c r="Q3" s="7"/>
      <c r="R3" s="7"/>
      <c r="S3" s="7"/>
      <c r="T3" s="7"/>
      <c r="U3" s="7"/>
      <c r="V3" s="7"/>
      <c r="W3" s="7"/>
    </row>
    <row r="4" spans="1:52" ht="14.4" customHeight="1" x14ac:dyDescent="0.25">
      <c r="A4" s="11"/>
      <c r="B4" s="15" t="s">
        <v>334</v>
      </c>
      <c r="C4" s="9"/>
      <c r="D4" s="9"/>
      <c r="E4" s="9"/>
      <c r="F4" s="9"/>
      <c r="G4" s="13"/>
      <c r="H4" s="13"/>
      <c r="I4" s="14"/>
      <c r="J4" s="7"/>
      <c r="K4" s="7"/>
      <c r="L4" s="7"/>
      <c r="M4" s="7"/>
      <c r="N4" s="7"/>
      <c r="O4" s="7"/>
      <c r="P4" s="7"/>
      <c r="Q4" s="7"/>
      <c r="R4" s="7"/>
      <c r="S4" s="7"/>
      <c r="T4" s="7"/>
      <c r="U4" s="7"/>
      <c r="V4" s="7"/>
      <c r="W4" s="7"/>
    </row>
    <row r="5" spans="1:52" ht="14.4" customHeight="1" x14ac:dyDescent="0.25">
      <c r="A5" s="11"/>
      <c r="B5" s="15" t="s">
        <v>335</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7"/>
      <c r="B14" s="7" t="s">
        <v>0</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t="s">
        <v>403</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c r="C16" s="7"/>
      <c r="D16" s="7" t="s">
        <v>404</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c r="D17" s="7" t="s">
        <v>405</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t="s">
        <v>406</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c r="C19" s="7"/>
      <c r="D19" s="7" t="s">
        <v>407</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c r="D20" s="7" t="s">
        <v>408</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t="s">
        <v>409</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t="s">
        <v>1</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t="s">
        <v>410</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t="s">
        <v>411</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t="s">
        <v>412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t="s">
        <v>413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40" priority="1" operator="equal">
      <formula>"Review Later"</formula>
    </cfRule>
    <cfRule type="cellIs" dxfId="139" priority="2" operator="equal">
      <formula>"Finished"</formula>
    </cfRule>
    <cfRule type="cellIs" dxfId="138" priority="3" operator="equal">
      <formula>"Incomplete"</formula>
    </cfRule>
  </conditionalFormatting>
  <pageMargins left="0.7" right="0.7" top="0.75" bottom="0.75" header="0.51180555555555496" footer="0.51180555555555496"/>
  <pageSetup firstPageNumber="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C205"/>
  <sheetViews>
    <sheetView zoomScaleNormal="100" zoomScalePageLayoutView="70" workbookViewId="0"/>
  </sheetViews>
  <sheetFormatPr defaultColWidth="0" defaultRowHeight="0" customHeight="1" zeroHeight="1" x14ac:dyDescent="0.25"/>
  <cols>
    <col min="1" max="1" width="11.5546875" style="21" customWidth="1"/>
    <col min="2" max="2" width="15.88671875" style="21" customWidth="1"/>
    <col min="3" max="3" width="13.44140625" style="21" customWidth="1"/>
    <col min="4" max="4" width="17.44140625" style="21" customWidth="1"/>
    <col min="5" max="5" width="16.5546875" style="21" customWidth="1"/>
    <col min="6" max="6" width="17.44140625" style="21" customWidth="1"/>
    <col min="7" max="7" width="16.5546875" style="21" customWidth="1"/>
    <col min="8" max="8" width="15.88671875" style="21" customWidth="1"/>
    <col min="9" max="10" width="10.5546875" style="21" customWidth="1"/>
    <col min="11" max="11" width="23.44140625" style="21" bestFit="1" customWidth="1"/>
    <col min="12" max="12" width="18.5546875" style="21" bestFit="1" customWidth="1"/>
    <col min="13" max="13" width="19.5546875" style="21" bestFit="1" customWidth="1"/>
    <col min="14" max="52" width="10.5546875" style="21" customWidth="1"/>
    <col min="53" max="55" width="0" style="21" hidden="1" customWidth="1"/>
    <col min="56" max="16384" width="10.5546875" style="21" hidden="1"/>
  </cols>
  <sheetData>
    <row r="1" spans="1:52" ht="14.4" customHeight="1" thickBot="1" x14ac:dyDescent="0.3">
      <c r="A1" s="3">
        <v>11</v>
      </c>
      <c r="B1" s="4"/>
      <c r="C1" s="246"/>
      <c r="D1" s="246"/>
      <c r="E1" s="246"/>
      <c r="F1" s="246"/>
      <c r="G1" s="246"/>
      <c r="H1" s="247"/>
      <c r="I1" s="20"/>
      <c r="J1" s="20"/>
      <c r="K1" s="20"/>
      <c r="L1" s="20"/>
      <c r="M1" s="20"/>
      <c r="N1" s="20"/>
      <c r="O1" s="20"/>
      <c r="P1" s="20"/>
      <c r="Q1" s="20"/>
      <c r="R1" s="20"/>
      <c r="S1" s="20"/>
      <c r="T1" s="20"/>
      <c r="U1" s="20"/>
      <c r="V1" s="20"/>
      <c r="W1" s="20"/>
    </row>
    <row r="2" spans="1:52" ht="14.4" customHeight="1" x14ac:dyDescent="0.25">
      <c r="A2" s="8" t="s">
        <v>4</v>
      </c>
      <c r="B2" s="374"/>
      <c r="C2" s="374"/>
      <c r="D2" s="374"/>
      <c r="E2" s="374"/>
      <c r="F2" s="374"/>
      <c r="G2" s="374"/>
      <c r="H2" s="375"/>
      <c r="I2" s="20"/>
      <c r="J2" s="20"/>
      <c r="K2" s="20"/>
      <c r="L2" s="20"/>
      <c r="M2" s="20"/>
      <c r="N2" s="20"/>
      <c r="O2" s="20"/>
      <c r="P2" s="20"/>
      <c r="Q2" s="20"/>
      <c r="R2" s="20"/>
      <c r="S2" s="20"/>
      <c r="T2" s="20"/>
      <c r="U2" s="20"/>
      <c r="V2" s="20"/>
      <c r="W2" s="20"/>
    </row>
    <row r="3" spans="1:52" ht="14.4" customHeight="1" x14ac:dyDescent="0.25">
      <c r="A3" s="11">
        <v>1.5</v>
      </c>
      <c r="B3" s="9"/>
      <c r="C3" s="374"/>
      <c r="D3" s="374"/>
      <c r="E3" s="374"/>
      <c r="F3" s="374"/>
      <c r="G3" s="374"/>
      <c r="H3" s="375"/>
      <c r="I3" s="20"/>
      <c r="J3" s="20"/>
      <c r="K3" s="20"/>
      <c r="L3" s="20"/>
      <c r="M3" s="20"/>
      <c r="N3" s="20"/>
      <c r="O3" s="20"/>
      <c r="P3" s="20"/>
      <c r="Q3" s="20"/>
      <c r="R3" s="20"/>
      <c r="S3" s="20"/>
      <c r="T3" s="20"/>
      <c r="U3" s="20"/>
      <c r="V3" s="20"/>
      <c r="W3" s="20"/>
    </row>
    <row r="4" spans="1:52" ht="14.4" customHeight="1" x14ac:dyDescent="0.25">
      <c r="A4" s="11"/>
      <c r="B4" s="376" t="s">
        <v>57</v>
      </c>
      <c r="C4" s="376"/>
      <c r="D4" s="376"/>
      <c r="E4" s="376"/>
      <c r="F4" s="376"/>
      <c r="G4" s="376"/>
      <c r="H4" s="377"/>
      <c r="I4" s="20"/>
      <c r="J4" s="20"/>
      <c r="K4" s="20"/>
      <c r="L4" s="20"/>
      <c r="M4" s="20"/>
      <c r="N4" s="20"/>
      <c r="O4" s="20"/>
      <c r="P4" s="20"/>
      <c r="Q4" s="20"/>
      <c r="R4" s="20"/>
      <c r="S4" s="20"/>
      <c r="T4" s="20"/>
      <c r="U4" s="20"/>
      <c r="V4" s="20"/>
      <c r="W4" s="20"/>
    </row>
    <row r="5" spans="1:52" ht="14.4" customHeight="1" thickBot="1" x14ac:dyDescent="0.3">
      <c r="A5" s="11"/>
      <c r="B5" s="376"/>
      <c r="C5" s="376"/>
      <c r="D5" s="376"/>
      <c r="E5" s="376"/>
      <c r="F5" s="376"/>
      <c r="G5" s="376"/>
      <c r="H5" s="377"/>
      <c r="I5" s="20"/>
      <c r="J5" s="20"/>
      <c r="K5" s="20"/>
      <c r="L5" s="20"/>
      <c r="M5" s="20"/>
      <c r="N5" s="20"/>
      <c r="O5" s="20"/>
      <c r="P5" s="20"/>
      <c r="Q5" s="20"/>
      <c r="R5" s="20"/>
      <c r="S5" s="20"/>
      <c r="T5" s="20"/>
      <c r="U5" s="20"/>
      <c r="V5" s="20"/>
      <c r="W5" s="20"/>
    </row>
    <row r="6" spans="1:52" ht="14.4" customHeight="1" x14ac:dyDescent="0.25">
      <c r="A6" s="11"/>
      <c r="B6" s="378"/>
      <c r="C6" s="379" t="s">
        <v>414</v>
      </c>
      <c r="D6" s="1084" t="s">
        <v>415</v>
      </c>
      <c r="E6" s="1085"/>
      <c r="F6" s="1084" t="s">
        <v>416</v>
      </c>
      <c r="G6" s="1085"/>
      <c r="H6" s="377"/>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 customHeight="1" x14ac:dyDescent="0.25">
      <c r="A7" s="11"/>
      <c r="B7" s="380"/>
      <c r="C7" s="381" t="s">
        <v>417</v>
      </c>
      <c r="D7" s="1086"/>
      <c r="E7" s="1087"/>
      <c r="F7" s="1086"/>
      <c r="G7" s="1087"/>
      <c r="H7" s="377"/>
      <c r="I7" s="20"/>
      <c r="J7" s="20" t="s">
        <v>418</v>
      </c>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 customHeight="1" thickBot="1" x14ac:dyDescent="0.3">
      <c r="A8" s="11"/>
      <c r="B8" s="382" t="s">
        <v>419</v>
      </c>
      <c r="C8" s="383" t="s">
        <v>420</v>
      </c>
      <c r="D8" s="382" t="s">
        <v>421</v>
      </c>
      <c r="E8" s="383" t="s">
        <v>422</v>
      </c>
      <c r="F8" s="382" t="s">
        <v>421</v>
      </c>
      <c r="G8" s="383" t="s">
        <v>422</v>
      </c>
      <c r="H8" s="377"/>
      <c r="I8" s="20"/>
      <c r="J8" s="382" t="s">
        <v>419</v>
      </c>
      <c r="K8" s="20" t="s">
        <v>423</v>
      </c>
      <c r="L8" s="20" t="s">
        <v>424</v>
      </c>
      <c r="M8" s="20" t="s">
        <v>425</v>
      </c>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 customHeight="1" x14ac:dyDescent="0.25">
      <c r="A9" s="11"/>
      <c r="B9" s="384" t="s">
        <v>426</v>
      </c>
      <c r="C9" s="385">
        <v>170</v>
      </c>
      <c r="D9" s="386">
        <v>5000</v>
      </c>
      <c r="E9" s="385">
        <v>160</v>
      </c>
      <c r="F9" s="386">
        <v>5000</v>
      </c>
      <c r="G9" s="387">
        <v>150</v>
      </c>
      <c r="H9" s="377"/>
      <c r="I9" s="20"/>
      <c r="J9" s="384" t="s">
        <v>426</v>
      </c>
      <c r="K9" s="20">
        <f>E9*D9</f>
        <v>800000</v>
      </c>
      <c r="L9" s="20">
        <f>C9*D9</f>
        <v>850000</v>
      </c>
      <c r="M9" s="20">
        <f>K9-L9</f>
        <v>-50000</v>
      </c>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 customHeight="1" x14ac:dyDescent="0.25">
      <c r="A10" s="11"/>
      <c r="B10" s="384" t="s">
        <v>427</v>
      </c>
      <c r="C10" s="385">
        <v>130</v>
      </c>
      <c r="D10" s="386">
        <v>5000</v>
      </c>
      <c r="E10" s="385">
        <v>140</v>
      </c>
      <c r="F10" s="386">
        <v>5000</v>
      </c>
      <c r="G10" s="387">
        <v>150</v>
      </c>
      <c r="H10" s="377"/>
      <c r="I10" s="20"/>
      <c r="J10" s="384" t="s">
        <v>427</v>
      </c>
      <c r="K10" s="20">
        <f t="shared" ref="K10" si="0">E10*D10</f>
        <v>700000</v>
      </c>
      <c r="L10" s="20">
        <f>C10*D10</f>
        <v>650000</v>
      </c>
      <c r="M10" s="20">
        <f>K10-L10</f>
        <v>50000</v>
      </c>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customHeight="1" thickBot="1" x14ac:dyDescent="0.3">
      <c r="A11" s="11"/>
      <c r="B11" s="388" t="s">
        <v>323</v>
      </c>
      <c r="C11" s="389">
        <v>150</v>
      </c>
      <c r="D11" s="390">
        <v>10000</v>
      </c>
      <c r="E11" s="391">
        <v>150</v>
      </c>
      <c r="F11" s="390">
        <v>10000</v>
      </c>
      <c r="G11" s="392">
        <v>150</v>
      </c>
      <c r="H11" s="377"/>
      <c r="I11" s="20"/>
      <c r="J11" s="388" t="s">
        <v>323</v>
      </c>
      <c r="K11" s="20">
        <f>SUM(K9:K10)</f>
        <v>1500000</v>
      </c>
      <c r="L11" s="20">
        <f t="shared" ref="L11:M11" si="1">SUM(L9:L10)</f>
        <v>1500000</v>
      </c>
      <c r="M11" s="20">
        <f t="shared" si="1"/>
        <v>0</v>
      </c>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 customHeight="1" x14ac:dyDescent="0.25">
      <c r="A12" s="11"/>
      <c r="B12" s="393"/>
      <c r="C12" s="393"/>
      <c r="D12" s="393"/>
      <c r="E12" s="393"/>
      <c r="F12" s="393"/>
      <c r="G12" s="376"/>
      <c r="H12" s="377"/>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 customHeight="1" x14ac:dyDescent="0.25">
      <c r="A13" s="11"/>
      <c r="B13" s="15" t="s">
        <v>428</v>
      </c>
      <c r="C13" s="15"/>
      <c r="D13" s="374"/>
      <c r="E13" s="374"/>
      <c r="F13" s="374"/>
      <c r="G13" s="374"/>
      <c r="H13" s="375"/>
      <c r="I13" s="20"/>
      <c r="J13" s="20" t="s">
        <v>418</v>
      </c>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 customHeight="1" thickBot="1" x14ac:dyDescent="0.3">
      <c r="A14" s="394"/>
      <c r="B14" s="15" t="s">
        <v>429</v>
      </c>
      <c r="C14" s="15"/>
      <c r="D14" s="374"/>
      <c r="E14" s="374"/>
      <c r="F14" s="374"/>
      <c r="G14" s="374"/>
      <c r="H14" s="375"/>
      <c r="I14" s="20"/>
      <c r="J14" s="382" t="s">
        <v>419</v>
      </c>
      <c r="K14" s="20" t="s">
        <v>430</v>
      </c>
      <c r="L14" s="20" t="s">
        <v>431</v>
      </c>
      <c r="M14" s="20" t="s">
        <v>432</v>
      </c>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 customHeight="1" x14ac:dyDescent="0.25">
      <c r="A15" s="394"/>
      <c r="B15" s="15" t="s">
        <v>433</v>
      </c>
      <c r="C15" s="15"/>
      <c r="D15" s="374"/>
      <c r="E15" s="374"/>
      <c r="F15" s="374"/>
      <c r="G15" s="374"/>
      <c r="H15" s="375"/>
      <c r="I15" s="20"/>
      <c r="J15" s="384" t="s">
        <v>426</v>
      </c>
      <c r="K15" s="20">
        <f>G9*F9</f>
        <v>750000</v>
      </c>
      <c r="L15" s="20">
        <f>F9*C9</f>
        <v>850000</v>
      </c>
      <c r="M15" s="20">
        <f>K15-L15</f>
        <v>-100000</v>
      </c>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 customHeight="1" x14ac:dyDescent="0.25">
      <c r="A16" s="394"/>
      <c r="B16" s="15" t="s">
        <v>434</v>
      </c>
      <c r="C16" s="270"/>
      <c r="D16" s="374"/>
      <c r="E16" s="374"/>
      <c r="F16" s="374"/>
      <c r="G16" s="374"/>
      <c r="H16" s="375"/>
      <c r="I16" s="20"/>
      <c r="J16" s="384" t="s">
        <v>427</v>
      </c>
      <c r="K16" s="20">
        <f>G10*F10</f>
        <v>750000</v>
      </c>
      <c r="L16" s="20">
        <f>F10*C10</f>
        <v>650000</v>
      </c>
      <c r="M16" s="20">
        <f>K16-L16</f>
        <v>100000</v>
      </c>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 customHeight="1" thickBot="1" x14ac:dyDescent="0.3">
      <c r="A17" s="394"/>
      <c r="B17" s="395"/>
      <c r="C17" s="374"/>
      <c r="D17" s="374"/>
      <c r="E17" s="374"/>
      <c r="F17" s="374"/>
      <c r="G17" s="374"/>
      <c r="H17" s="375"/>
      <c r="I17" s="20"/>
      <c r="J17" s="388" t="s">
        <v>323</v>
      </c>
      <c r="K17" s="20">
        <f>SUM(K15:K16)</f>
        <v>1500000</v>
      </c>
      <c r="L17" s="20">
        <f t="shared" ref="L17:M17" si="2">SUM(L15:L16)</f>
        <v>1500000</v>
      </c>
      <c r="M17" s="20">
        <f t="shared" si="2"/>
        <v>0</v>
      </c>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 customHeight="1" x14ac:dyDescent="0.25">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 customHeight="1" x14ac:dyDescent="0.25">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 customHeight="1" x14ac:dyDescent="0.25">
      <c r="A20" s="11"/>
      <c r="B20" s="374"/>
      <c r="C20" s="374"/>
      <c r="D20" s="374"/>
      <c r="E20" s="374"/>
      <c r="F20" s="374"/>
      <c r="G20" s="374"/>
      <c r="H20" s="375"/>
      <c r="I20" s="20"/>
      <c r="J20" s="20" t="s">
        <v>436</v>
      </c>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 customHeight="1" thickBot="1" x14ac:dyDescent="0.3">
      <c r="A21" s="11">
        <v>0.5</v>
      </c>
      <c r="B21" s="374" t="s">
        <v>1</v>
      </c>
      <c r="C21" s="374"/>
      <c r="D21" s="374"/>
      <c r="E21" s="374"/>
      <c r="F21" s="374"/>
      <c r="G21" s="374"/>
      <c r="H21" s="375"/>
      <c r="I21" s="20"/>
      <c r="J21" s="382" t="s">
        <v>419</v>
      </c>
      <c r="K21" s="20" t="s">
        <v>421</v>
      </c>
      <c r="L21" s="20" t="s">
        <v>423</v>
      </c>
      <c r="M21" s="20" t="s">
        <v>424</v>
      </c>
      <c r="N21" s="20" t="s">
        <v>425</v>
      </c>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customHeight="1" x14ac:dyDescent="0.25">
      <c r="A22" s="11"/>
      <c r="B22" s="374" t="s">
        <v>437</v>
      </c>
      <c r="C22" s="374"/>
      <c r="D22" s="374"/>
      <c r="E22" s="374"/>
      <c r="F22" s="374"/>
      <c r="G22" s="374"/>
      <c r="H22" s="375"/>
      <c r="I22" s="20"/>
      <c r="J22" s="384" t="s">
        <v>426</v>
      </c>
      <c r="K22" s="20">
        <f>D9*0.8</f>
        <v>4000</v>
      </c>
      <c r="L22" s="20">
        <f>E9*K22</f>
        <v>640000</v>
      </c>
      <c r="M22" s="20">
        <f>C9*K22</f>
        <v>680000</v>
      </c>
      <c r="N22" s="20">
        <f>L22-M22</f>
        <v>-40000</v>
      </c>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 customHeight="1" x14ac:dyDescent="0.25">
      <c r="A23" s="11"/>
      <c r="B23" s="374" t="s">
        <v>438</v>
      </c>
      <c r="C23" s="374"/>
      <c r="D23" s="374"/>
      <c r="E23" s="374"/>
      <c r="F23" s="374"/>
      <c r="G23" s="374"/>
      <c r="H23" s="375"/>
      <c r="I23" s="20"/>
      <c r="J23" s="384" t="s">
        <v>427</v>
      </c>
      <c r="K23" s="20">
        <f>D10*1.2</f>
        <v>6000</v>
      </c>
      <c r="L23" s="20">
        <f>E10*K23</f>
        <v>840000</v>
      </c>
      <c r="M23" s="20">
        <f>C10*K23</f>
        <v>780000</v>
      </c>
      <c r="N23" s="20">
        <f>L23-M23</f>
        <v>60000</v>
      </c>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 customHeight="1" thickBot="1" x14ac:dyDescent="0.3">
      <c r="A24" s="278"/>
      <c r="B24" s="279"/>
      <c r="C24" s="279"/>
      <c r="D24" s="279"/>
      <c r="E24" s="279"/>
      <c r="F24" s="279"/>
      <c r="G24" s="279"/>
      <c r="H24" s="280"/>
      <c r="I24" s="20"/>
      <c r="J24" s="388" t="s">
        <v>323</v>
      </c>
      <c r="K24" s="20"/>
      <c r="L24" s="20">
        <f>SUM(L22:L23)</f>
        <v>1480000</v>
      </c>
      <c r="M24" s="20">
        <f t="shared" ref="M24:N24" si="3">SUM(M22:M23)</f>
        <v>1460000</v>
      </c>
      <c r="N24" s="20">
        <f t="shared" si="3"/>
        <v>20000</v>
      </c>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 customHeight="1" x14ac:dyDescent="0.25">
      <c r="A26" s="20"/>
      <c r="B26" s="20"/>
      <c r="C26" s="20"/>
      <c r="D26" s="20"/>
      <c r="E26" s="20"/>
      <c r="F26" s="20"/>
      <c r="G26" s="20"/>
      <c r="H26" s="20"/>
      <c r="I26" s="20"/>
      <c r="J26" s="20" t="s">
        <v>436</v>
      </c>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 customHeight="1" thickBot="1" x14ac:dyDescent="0.3">
      <c r="A27" s="20"/>
      <c r="B27" s="20"/>
      <c r="C27" s="20"/>
      <c r="D27" s="20"/>
      <c r="E27" s="20"/>
      <c r="F27" s="20"/>
      <c r="G27" s="20"/>
      <c r="H27" s="20"/>
      <c r="I27" s="20"/>
      <c r="J27" s="382" t="s">
        <v>419</v>
      </c>
      <c r="K27" s="20" t="s">
        <v>421</v>
      </c>
      <c r="L27" s="20" t="s">
        <v>430</v>
      </c>
      <c r="M27" s="20" t="s">
        <v>431</v>
      </c>
      <c r="N27" s="20" t="s">
        <v>432</v>
      </c>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 customHeight="1" x14ac:dyDescent="0.25">
      <c r="A28" s="20"/>
      <c r="B28" s="20"/>
      <c r="C28" s="20"/>
      <c r="D28" s="20"/>
      <c r="E28" s="20"/>
      <c r="F28" s="20"/>
      <c r="G28" s="20"/>
      <c r="H28" s="20"/>
      <c r="I28" s="20"/>
      <c r="J28" s="384" t="s">
        <v>426</v>
      </c>
      <c r="K28" s="20">
        <f>K23</f>
        <v>6000</v>
      </c>
      <c r="L28" s="20">
        <f>G9*K28</f>
        <v>900000</v>
      </c>
      <c r="M28" s="20">
        <f>C9*K28</f>
        <v>1020000</v>
      </c>
      <c r="N28" s="20">
        <f>L28-M28</f>
        <v>-120000</v>
      </c>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 customHeight="1" x14ac:dyDescent="0.25">
      <c r="A29" s="20"/>
      <c r="B29" s="20"/>
      <c r="C29" s="20"/>
      <c r="D29" s="20"/>
      <c r="E29" s="20"/>
      <c r="F29" s="20"/>
      <c r="G29" s="20"/>
      <c r="H29" s="20"/>
      <c r="I29" s="20"/>
      <c r="J29" s="384" t="s">
        <v>427</v>
      </c>
      <c r="K29" s="20">
        <f>K22</f>
        <v>4000</v>
      </c>
      <c r="L29" s="20">
        <f>G10*K29</f>
        <v>600000</v>
      </c>
      <c r="M29" s="20">
        <f>C10*K29</f>
        <v>520000</v>
      </c>
      <c r="N29" s="20">
        <f>L29-M29</f>
        <v>80000</v>
      </c>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 customHeight="1" thickBot="1" x14ac:dyDescent="0.3">
      <c r="A30" s="20"/>
      <c r="B30" s="20"/>
      <c r="C30" s="20"/>
      <c r="D30" s="20"/>
      <c r="E30" s="20"/>
      <c r="F30" s="20"/>
      <c r="G30" s="20"/>
      <c r="H30" s="20"/>
      <c r="I30" s="20"/>
      <c r="J30" s="388" t="s">
        <v>323</v>
      </c>
      <c r="K30" s="20"/>
      <c r="L30" s="20">
        <f>SUM(L28:L29)</f>
        <v>1500000</v>
      </c>
      <c r="M30" s="20">
        <f t="shared" ref="M30:N30" si="4">SUM(M28:M29)</f>
        <v>1540000</v>
      </c>
      <c r="N30" s="20">
        <f t="shared" si="4"/>
        <v>-40000</v>
      </c>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 customHeight="1" x14ac:dyDescent="0.25">
      <c r="A32" s="20"/>
      <c r="B32" s="20"/>
      <c r="C32" s="20"/>
      <c r="D32" s="20"/>
      <c r="E32" s="20"/>
      <c r="F32" s="20"/>
      <c r="G32" s="20"/>
      <c r="H32" s="20"/>
      <c r="I32" s="20"/>
      <c r="J32" s="20" t="s">
        <v>342</v>
      </c>
      <c r="K32" s="20" t="s">
        <v>439</v>
      </c>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 customHeight="1" x14ac:dyDescent="0.25">
      <c r="A33" s="20"/>
      <c r="B33" s="20"/>
      <c r="C33" s="20"/>
      <c r="D33" s="20"/>
      <c r="E33" s="20"/>
      <c r="F33" s="20"/>
      <c r="G33" s="20"/>
      <c r="H33" s="20"/>
      <c r="I33" s="20"/>
      <c r="J33" s="20"/>
      <c r="K33" s="20" t="s">
        <v>440</v>
      </c>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 customHeight="1" x14ac:dyDescent="0.25">
      <c r="A34" s="20"/>
      <c r="B34" s="20"/>
      <c r="C34" s="20"/>
      <c r="D34" s="20"/>
      <c r="E34" s="20"/>
      <c r="F34" s="20"/>
      <c r="G34" s="20"/>
      <c r="H34" s="20"/>
      <c r="I34" s="20"/>
      <c r="J34" s="20"/>
      <c r="K34" s="20" t="s">
        <v>441</v>
      </c>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 customHeight="1"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 customHeight="1"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 customHeight="1" x14ac:dyDescent="0.2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 customHeight="1" x14ac:dyDescent="0.2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 customHeight="1"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 customHeight="1" x14ac:dyDescent="0.2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 customHeigh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 customHeight="1"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 customHeigh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 customHeigh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mergeCells count="2">
    <mergeCell ref="D6:E7"/>
    <mergeCell ref="F6:G7"/>
  </mergeCells>
  <conditionalFormatting sqref="B1">
    <cfRule type="cellIs" dxfId="137" priority="1" operator="equal">
      <formula>"Review Later"</formula>
    </cfRule>
    <cfRule type="cellIs" dxfId="136" priority="2" operator="equal">
      <formula>"Finished"</formula>
    </cfRule>
    <cfRule type="cellIs" dxfId="135"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C205"/>
  <sheetViews>
    <sheetView zoomScaleNormal="100" zoomScalePageLayoutView="70" workbookViewId="0"/>
  </sheetViews>
  <sheetFormatPr defaultColWidth="0" defaultRowHeight="0" customHeight="1" zeroHeight="1" x14ac:dyDescent="0.25"/>
  <cols>
    <col min="1" max="1" width="11.5546875" style="21" customWidth="1"/>
    <col min="2" max="2" width="15.88671875" style="21" customWidth="1"/>
    <col min="3" max="3" width="13.44140625" style="21" customWidth="1"/>
    <col min="4" max="4" width="17.44140625" style="21" customWidth="1"/>
    <col min="5" max="5" width="16.5546875" style="21" customWidth="1"/>
    <col min="6" max="6" width="17.44140625" style="21" customWidth="1"/>
    <col min="7" max="7" width="16.5546875" style="21" customWidth="1"/>
    <col min="8" max="8" width="15.88671875" style="21" customWidth="1"/>
    <col min="9" max="52" width="10.5546875" style="21" customWidth="1"/>
    <col min="53" max="55" width="0" style="21" hidden="1" customWidth="1"/>
    <col min="56" max="16384" width="10.5546875" style="21" hidden="1"/>
  </cols>
  <sheetData>
    <row r="1" spans="1:52" ht="14.4" customHeight="1" thickBot="1" x14ac:dyDescent="0.3">
      <c r="A1" s="3">
        <v>11</v>
      </c>
      <c r="B1" s="4"/>
      <c r="C1" s="246"/>
      <c r="D1" s="246"/>
      <c r="E1" s="246"/>
      <c r="F1" s="246"/>
      <c r="G1" s="246"/>
      <c r="H1" s="247"/>
      <c r="I1" s="20"/>
      <c r="J1" s="20"/>
      <c r="K1" s="20"/>
      <c r="L1" s="20"/>
      <c r="M1" s="20"/>
      <c r="N1" s="20"/>
      <c r="O1" s="20"/>
      <c r="P1" s="20"/>
      <c r="Q1" s="20"/>
      <c r="R1" s="20"/>
      <c r="S1" s="20"/>
      <c r="T1" s="20"/>
      <c r="U1" s="20"/>
      <c r="V1" s="20"/>
      <c r="W1" s="20"/>
    </row>
    <row r="2" spans="1:52" ht="14.4" customHeight="1" x14ac:dyDescent="0.25">
      <c r="A2" s="8" t="s">
        <v>4</v>
      </c>
      <c r="B2" s="374"/>
      <c r="C2" s="374"/>
      <c r="D2" s="374"/>
      <c r="E2" s="374"/>
      <c r="F2" s="374"/>
      <c r="G2" s="374"/>
      <c r="H2" s="375"/>
      <c r="I2" s="20"/>
      <c r="J2" s="20"/>
      <c r="K2" s="20"/>
      <c r="L2" s="20"/>
      <c r="M2" s="20"/>
      <c r="N2" s="20"/>
      <c r="O2" s="20"/>
      <c r="P2" s="20"/>
      <c r="Q2" s="20"/>
      <c r="R2" s="20"/>
      <c r="S2" s="20"/>
      <c r="T2" s="20"/>
      <c r="U2" s="20"/>
      <c r="V2" s="20"/>
      <c r="W2" s="20"/>
    </row>
    <row r="3" spans="1:52" ht="14.4" customHeight="1" x14ac:dyDescent="0.25">
      <c r="A3" s="11">
        <v>1.5</v>
      </c>
      <c r="B3" s="9"/>
      <c r="C3" s="374"/>
      <c r="D3" s="374"/>
      <c r="E3" s="374"/>
      <c r="F3" s="374"/>
      <c r="G3" s="374"/>
      <c r="H3" s="375"/>
      <c r="I3" s="20"/>
      <c r="J3" s="20"/>
      <c r="K3" s="20"/>
      <c r="L3" s="20"/>
      <c r="M3" s="20"/>
      <c r="N3" s="20"/>
      <c r="O3" s="20"/>
      <c r="P3" s="20"/>
      <c r="Q3" s="20"/>
      <c r="R3" s="20"/>
      <c r="S3" s="20"/>
      <c r="T3" s="20"/>
      <c r="U3" s="20"/>
      <c r="V3" s="20"/>
      <c r="W3" s="20"/>
    </row>
    <row r="4" spans="1:52" ht="14.4" customHeight="1" x14ac:dyDescent="0.25">
      <c r="A4" s="11"/>
      <c r="B4" s="376" t="s">
        <v>57</v>
      </c>
      <c r="C4" s="376"/>
      <c r="D4" s="376"/>
      <c r="E4" s="376"/>
      <c r="F4" s="376"/>
      <c r="G4" s="376"/>
      <c r="H4" s="377"/>
      <c r="I4" s="20"/>
      <c r="J4" s="20"/>
      <c r="K4" s="20"/>
      <c r="L4" s="20"/>
      <c r="M4" s="20"/>
      <c r="N4" s="20"/>
      <c r="O4" s="20"/>
      <c r="P4" s="20"/>
      <c r="Q4" s="20"/>
      <c r="R4" s="20"/>
      <c r="S4" s="20"/>
      <c r="T4" s="20"/>
      <c r="U4" s="20"/>
      <c r="V4" s="20"/>
      <c r="W4" s="20"/>
    </row>
    <row r="5" spans="1:52" ht="14.4" customHeight="1" thickBot="1" x14ac:dyDescent="0.3">
      <c r="A5" s="11"/>
      <c r="B5" s="376"/>
      <c r="C5" s="376"/>
      <c r="D5" s="376"/>
      <c r="E5" s="376"/>
      <c r="F5" s="376"/>
      <c r="G5" s="376"/>
      <c r="H5" s="377"/>
      <c r="I5" s="20"/>
      <c r="J5" s="20"/>
      <c r="K5" s="20"/>
      <c r="L5" s="20"/>
      <c r="M5" s="20"/>
      <c r="N5" s="20"/>
      <c r="O5" s="20"/>
      <c r="P5" s="20"/>
      <c r="Q5" s="20"/>
      <c r="R5" s="20"/>
      <c r="S5" s="20"/>
      <c r="T5" s="20"/>
      <c r="U5" s="20"/>
      <c r="V5" s="20"/>
      <c r="W5" s="20"/>
    </row>
    <row r="6" spans="1:52" ht="14.4" customHeight="1" x14ac:dyDescent="0.25">
      <c r="A6" s="11"/>
      <c r="B6" s="378"/>
      <c r="C6" s="379" t="s">
        <v>414</v>
      </c>
      <c r="D6" s="1084" t="s">
        <v>415</v>
      </c>
      <c r="E6" s="1085"/>
      <c r="F6" s="1084" t="s">
        <v>416</v>
      </c>
      <c r="G6" s="1085"/>
      <c r="H6" s="377"/>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 customHeight="1" x14ac:dyDescent="0.25">
      <c r="A7" s="11"/>
      <c r="B7" s="380"/>
      <c r="C7" s="381" t="s">
        <v>417</v>
      </c>
      <c r="D7" s="1086"/>
      <c r="E7" s="1087"/>
      <c r="F7" s="1086"/>
      <c r="G7" s="1087"/>
      <c r="H7" s="377"/>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 customHeight="1" thickBot="1" x14ac:dyDescent="0.3">
      <c r="A8" s="11"/>
      <c r="B8" s="382" t="s">
        <v>419</v>
      </c>
      <c r="C8" s="383" t="s">
        <v>420</v>
      </c>
      <c r="D8" s="382" t="s">
        <v>421</v>
      </c>
      <c r="E8" s="383" t="s">
        <v>422</v>
      </c>
      <c r="F8" s="382" t="s">
        <v>421</v>
      </c>
      <c r="G8" s="383" t="s">
        <v>422</v>
      </c>
      <c r="H8" s="377"/>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 customHeight="1" x14ac:dyDescent="0.25">
      <c r="A9" s="11"/>
      <c r="B9" s="384" t="s">
        <v>426</v>
      </c>
      <c r="C9" s="385">
        <v>170</v>
      </c>
      <c r="D9" s="386">
        <v>5000</v>
      </c>
      <c r="E9" s="385">
        <v>160</v>
      </c>
      <c r="F9" s="386">
        <v>5000</v>
      </c>
      <c r="G9" s="387">
        <v>150</v>
      </c>
      <c r="H9" s="37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 customHeight="1" x14ac:dyDescent="0.25">
      <c r="A10" s="11"/>
      <c r="B10" s="384" t="s">
        <v>427</v>
      </c>
      <c r="C10" s="385">
        <v>130</v>
      </c>
      <c r="D10" s="386">
        <v>5000</v>
      </c>
      <c r="E10" s="385">
        <v>140</v>
      </c>
      <c r="F10" s="386">
        <v>5000</v>
      </c>
      <c r="G10" s="387">
        <v>150</v>
      </c>
      <c r="H10" s="377"/>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customHeight="1" thickBot="1" x14ac:dyDescent="0.3">
      <c r="A11" s="11"/>
      <c r="B11" s="388" t="s">
        <v>323</v>
      </c>
      <c r="C11" s="389">
        <v>150</v>
      </c>
      <c r="D11" s="390">
        <v>10000</v>
      </c>
      <c r="E11" s="391">
        <v>150</v>
      </c>
      <c r="F11" s="390">
        <v>10000</v>
      </c>
      <c r="G11" s="392">
        <v>150</v>
      </c>
      <c r="H11" s="377"/>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 customHeight="1" x14ac:dyDescent="0.25">
      <c r="A12" s="11"/>
      <c r="B12" s="393"/>
      <c r="C12" s="393"/>
      <c r="D12" s="393"/>
      <c r="E12" s="393"/>
      <c r="F12" s="393"/>
      <c r="G12" s="376"/>
      <c r="H12" s="377"/>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 customHeight="1" x14ac:dyDescent="0.25">
      <c r="A13" s="11"/>
      <c r="B13" s="15" t="s">
        <v>428</v>
      </c>
      <c r="C13" s="15"/>
      <c r="D13" s="374"/>
      <c r="E13" s="374"/>
      <c r="F13" s="374"/>
      <c r="G13" s="374"/>
      <c r="H13" s="375"/>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 customHeight="1" x14ac:dyDescent="0.25">
      <c r="A14" s="394"/>
      <c r="B14" s="15" t="s">
        <v>429</v>
      </c>
      <c r="C14" s="15"/>
      <c r="D14" s="374"/>
      <c r="E14" s="374"/>
      <c r="F14" s="374"/>
      <c r="G14" s="374"/>
      <c r="H14" s="375"/>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 customHeight="1" x14ac:dyDescent="0.25">
      <c r="A15" s="394"/>
      <c r="B15" s="15" t="s">
        <v>433</v>
      </c>
      <c r="C15" s="15"/>
      <c r="D15" s="374"/>
      <c r="E15" s="374"/>
      <c r="F15" s="374"/>
      <c r="G15" s="374"/>
      <c r="H15" s="375"/>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 customHeight="1" x14ac:dyDescent="0.25">
      <c r="A16" s="394"/>
      <c r="B16" s="15" t="s">
        <v>434</v>
      </c>
      <c r="C16" s="270"/>
      <c r="D16" s="374"/>
      <c r="E16" s="374"/>
      <c r="F16" s="374"/>
      <c r="G16" s="374"/>
      <c r="H16" s="375"/>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 customHeight="1" x14ac:dyDescent="0.25">
      <c r="A17" s="394"/>
      <c r="B17" s="395"/>
      <c r="C17" s="374"/>
      <c r="D17" s="374"/>
      <c r="E17" s="374"/>
      <c r="F17" s="374"/>
      <c r="G17" s="374"/>
      <c r="H17" s="375"/>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 customHeight="1" x14ac:dyDescent="0.25">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 customHeight="1" x14ac:dyDescent="0.25">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 customHeight="1" x14ac:dyDescent="0.25">
      <c r="A20" s="11"/>
      <c r="B20" s="374"/>
      <c r="C20" s="374"/>
      <c r="D20" s="374"/>
      <c r="E20" s="374"/>
      <c r="F20" s="374"/>
      <c r="G20" s="374"/>
      <c r="H20" s="375"/>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 customHeight="1" x14ac:dyDescent="0.25">
      <c r="A21" s="11">
        <v>0.5</v>
      </c>
      <c r="B21" s="374" t="s">
        <v>1</v>
      </c>
      <c r="C21" s="374"/>
      <c r="D21" s="374"/>
      <c r="E21" s="374"/>
      <c r="F21" s="374"/>
      <c r="G21" s="374"/>
      <c r="H21" s="375"/>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customHeight="1" x14ac:dyDescent="0.25">
      <c r="A22" s="11"/>
      <c r="B22" s="374" t="s">
        <v>437</v>
      </c>
      <c r="C22" s="374"/>
      <c r="D22" s="374"/>
      <c r="E22" s="374"/>
      <c r="F22" s="374"/>
      <c r="G22" s="374"/>
      <c r="H22" s="375"/>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 customHeight="1" x14ac:dyDescent="0.25">
      <c r="A23" s="11"/>
      <c r="B23" s="374" t="s">
        <v>438</v>
      </c>
      <c r="C23" s="374"/>
      <c r="D23" s="374"/>
      <c r="E23" s="374"/>
      <c r="F23" s="374"/>
      <c r="G23" s="374"/>
      <c r="H23" s="375"/>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 customHeight="1" thickBot="1" x14ac:dyDescent="0.3">
      <c r="A24" s="278"/>
      <c r="B24" s="279"/>
      <c r="C24" s="279"/>
      <c r="D24" s="279"/>
      <c r="E24" s="279"/>
      <c r="F24" s="279"/>
      <c r="G24" s="279"/>
      <c r="H24" s="28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 customHeight="1" x14ac:dyDescent="0.25">
      <c r="A27" s="20"/>
      <c r="B27" s="20" t="s">
        <v>0</v>
      </c>
      <c r="C27" s="20"/>
      <c r="D27" s="20"/>
      <c r="E27" s="20"/>
      <c r="F27" s="20" t="s">
        <v>1</v>
      </c>
      <c r="G27" s="20" t="s">
        <v>442</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 customHeight="1" x14ac:dyDescent="0.25">
      <c r="A28" s="20"/>
      <c r="B28" s="20"/>
      <c r="C28" s="20" t="s">
        <v>443</v>
      </c>
      <c r="D28" s="20"/>
      <c r="E28" s="20"/>
      <c r="F28" s="20"/>
      <c r="G28" s="20" t="s">
        <v>16</v>
      </c>
      <c r="H28" s="20" t="s">
        <v>444</v>
      </c>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 customHeight="1" x14ac:dyDescent="0.25">
      <c r="A29" s="20"/>
      <c r="B29" s="20"/>
      <c r="C29" s="20" t="s">
        <v>445</v>
      </c>
      <c r="D29" s="20" t="s">
        <v>446</v>
      </c>
      <c r="E29" s="20"/>
      <c r="F29" s="20"/>
      <c r="G29" s="20" t="s">
        <v>18</v>
      </c>
      <c r="H29" s="20" t="s">
        <v>447</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 customHeight="1" x14ac:dyDescent="0.25">
      <c r="A30" s="20"/>
      <c r="B30" s="20" t="s">
        <v>426</v>
      </c>
      <c r="C30" s="20">
        <f>D9*0.8</f>
        <v>4000</v>
      </c>
      <c r="D30" s="20">
        <f>F9+0.2*D9</f>
        <v>6000</v>
      </c>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 customHeight="1" x14ac:dyDescent="0.25">
      <c r="A31" s="20"/>
      <c r="B31" s="20" t="s">
        <v>427</v>
      </c>
      <c r="C31" s="20">
        <f>D10+0.2*F10</f>
        <v>6000</v>
      </c>
      <c r="D31" s="20">
        <f>0.8*F10</f>
        <v>4000</v>
      </c>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 customHeight="1" x14ac:dyDescent="0.2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 customHeight="1" x14ac:dyDescent="0.25">
      <c r="A34" s="20"/>
      <c r="B34" s="20"/>
      <c r="C34" s="20" t="s">
        <v>448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 customHeight="1" x14ac:dyDescent="0.25">
      <c r="A35" s="20"/>
      <c r="B35" s="20"/>
      <c r="C35" s="20" t="s">
        <v>445</v>
      </c>
      <c r="D35" s="20" t="s">
        <v>446</v>
      </c>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 customHeight="1" x14ac:dyDescent="0.25">
      <c r="A36" s="20"/>
      <c r="B36" s="20" t="s">
        <v>426</v>
      </c>
      <c r="C36" s="20">
        <f>C30*E9</f>
        <v>640000</v>
      </c>
      <c r="D36" s="20">
        <f>D30*G9</f>
        <v>900000</v>
      </c>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 customHeight="1" x14ac:dyDescent="0.25">
      <c r="A37" s="20"/>
      <c r="B37" s="20" t="s">
        <v>427</v>
      </c>
      <c r="C37" s="20">
        <f>C31*E10</f>
        <v>840000</v>
      </c>
      <c r="D37" s="20">
        <f>D31*G10</f>
        <v>600000</v>
      </c>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 customHeight="1" x14ac:dyDescent="0.25">
      <c r="A38" s="20"/>
      <c r="B38" s="20" t="s">
        <v>323</v>
      </c>
      <c r="C38" s="20">
        <f>SUM(C36:C37)</f>
        <v>1480000</v>
      </c>
      <c r="D38" s="20">
        <f t="shared" ref="D38" si="0">SUM(D36:D37)</f>
        <v>1500000</v>
      </c>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 customHeight="1"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 customHeight="1" x14ac:dyDescent="0.25">
      <c r="A40" s="20"/>
      <c r="B40" s="20"/>
      <c r="C40" s="20" t="s">
        <v>449</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 customHeight="1" x14ac:dyDescent="0.25">
      <c r="A41" s="20"/>
      <c r="B41" s="20"/>
      <c r="C41" s="20" t="s">
        <v>445</v>
      </c>
      <c r="D41" s="20" t="s">
        <v>446</v>
      </c>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 customHeight="1" x14ac:dyDescent="0.25">
      <c r="A42" s="20"/>
      <c r="B42" s="20" t="s">
        <v>426</v>
      </c>
      <c r="C42" s="20">
        <f>$C9*C30</f>
        <v>680000</v>
      </c>
      <c r="D42" s="20">
        <f>$C9*D30</f>
        <v>1020000</v>
      </c>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 customHeight="1" x14ac:dyDescent="0.25">
      <c r="A43" s="20"/>
      <c r="B43" s="20" t="s">
        <v>427</v>
      </c>
      <c r="C43" s="20">
        <f>$C10*C31</f>
        <v>780000</v>
      </c>
      <c r="D43" s="20">
        <f>$C10*D31</f>
        <v>520000</v>
      </c>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 customHeight="1" x14ac:dyDescent="0.25">
      <c r="A44" s="20"/>
      <c r="B44" s="20" t="s">
        <v>323</v>
      </c>
      <c r="C44" s="20">
        <f>SUM(C42:C43)</f>
        <v>1460000</v>
      </c>
      <c r="D44" s="20">
        <f t="shared" ref="D44" si="1">SUM(D42:D43)</f>
        <v>1540000</v>
      </c>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 customHeight="1" x14ac:dyDescent="0.25">
      <c r="A46" s="20"/>
      <c r="B46" s="20" t="s">
        <v>450</v>
      </c>
      <c r="C46" s="20">
        <f>C38-C44</f>
        <v>20000</v>
      </c>
      <c r="D46" s="20">
        <f>D38-D44</f>
        <v>-40000</v>
      </c>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 customHeight="1" x14ac:dyDescent="0.25">
      <c r="A48" s="20"/>
      <c r="B48" s="20" t="s">
        <v>451</v>
      </c>
      <c r="C48" s="318">
        <f>C46/C38</f>
        <v>1.3513513513513514E-2</v>
      </c>
      <c r="D48" s="318">
        <f>D46/D38</f>
        <v>-2.6666666666666668E-2</v>
      </c>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 customHeigh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 customHeigh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mergeCells count="2">
    <mergeCell ref="D6:E7"/>
    <mergeCell ref="F6:G7"/>
  </mergeCells>
  <conditionalFormatting sqref="B1">
    <cfRule type="cellIs" dxfId="134" priority="1" operator="equal">
      <formula>"Review Later"</formula>
    </cfRule>
    <cfRule type="cellIs" dxfId="133" priority="2" operator="equal">
      <formula>"Finished"</formula>
    </cfRule>
    <cfRule type="cellIs" dxfId="132"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C205"/>
  <sheetViews>
    <sheetView zoomScaleNormal="100" zoomScalePageLayoutView="80" workbookViewId="0"/>
  </sheetViews>
  <sheetFormatPr defaultColWidth="0" defaultRowHeight="0" customHeight="1" zeroHeight="1" x14ac:dyDescent="0.25"/>
  <cols>
    <col min="1" max="1" width="11.5546875" style="21" customWidth="1"/>
    <col min="2" max="2" width="15.88671875" style="21" customWidth="1"/>
    <col min="3" max="3" width="13.44140625" style="21" customWidth="1"/>
    <col min="4" max="4" width="17.44140625" style="21" customWidth="1"/>
    <col min="5" max="5" width="16.5546875" style="21" customWidth="1"/>
    <col min="6" max="6" width="17.44140625" style="21" customWidth="1"/>
    <col min="7" max="7" width="16.5546875" style="21" customWidth="1"/>
    <col min="8" max="8" width="15.88671875" style="21" customWidth="1"/>
    <col min="9" max="11" width="10.5546875" style="21" customWidth="1"/>
    <col min="12" max="12" width="11.88671875" style="21" bestFit="1" customWidth="1"/>
    <col min="13" max="13" width="10.5546875" style="21" customWidth="1"/>
    <col min="14" max="14" width="13.109375" style="21" bestFit="1" customWidth="1"/>
    <col min="15" max="52" width="10.5546875" style="21" customWidth="1"/>
    <col min="53" max="55" width="0" style="21" hidden="1" customWidth="1"/>
    <col min="56" max="16384" width="10.5546875" style="21" hidden="1"/>
  </cols>
  <sheetData>
    <row r="1" spans="1:52" ht="14.4" customHeight="1" thickBot="1" x14ac:dyDescent="0.3">
      <c r="A1" s="3">
        <v>11</v>
      </c>
      <c r="B1" s="4"/>
      <c r="C1" s="246"/>
      <c r="D1" s="246"/>
      <c r="E1" s="246"/>
      <c r="F1" s="246"/>
      <c r="G1" s="246"/>
      <c r="H1" s="247"/>
      <c r="I1" s="20"/>
      <c r="J1" s="20"/>
      <c r="K1" s="20"/>
      <c r="L1" s="20"/>
      <c r="M1" s="20"/>
      <c r="N1" s="20"/>
      <c r="O1" s="20"/>
      <c r="P1" s="20"/>
      <c r="Q1" s="20"/>
      <c r="R1" s="20"/>
      <c r="S1" s="20"/>
      <c r="T1" s="20"/>
      <c r="U1" s="20"/>
      <c r="V1" s="20"/>
      <c r="W1" s="20"/>
    </row>
    <row r="2" spans="1:52" ht="14.4" customHeight="1" x14ac:dyDescent="0.25">
      <c r="A2" s="8" t="s">
        <v>4</v>
      </c>
      <c r="B2" s="374"/>
      <c r="C2" s="374"/>
      <c r="D2" s="374"/>
      <c r="E2" s="374"/>
      <c r="F2" s="374"/>
      <c r="G2" s="374"/>
      <c r="H2" s="375"/>
      <c r="I2" s="20"/>
      <c r="J2" s="20"/>
      <c r="K2" s="20"/>
      <c r="L2" s="20"/>
      <c r="M2" s="20"/>
      <c r="N2" s="20"/>
      <c r="O2" s="20"/>
      <c r="P2" s="20"/>
      <c r="Q2" s="20"/>
      <c r="R2" s="20"/>
      <c r="S2" s="20"/>
      <c r="T2" s="20"/>
      <c r="U2" s="20"/>
      <c r="V2" s="20"/>
      <c r="W2" s="20"/>
    </row>
    <row r="3" spans="1:52" ht="14.4" customHeight="1" x14ac:dyDescent="0.25">
      <c r="A3" s="11">
        <v>1.5</v>
      </c>
      <c r="B3" s="9"/>
      <c r="C3" s="374"/>
      <c r="D3" s="374"/>
      <c r="E3" s="374"/>
      <c r="F3" s="374"/>
      <c r="G3" s="374"/>
      <c r="H3" s="375"/>
      <c r="I3" s="20"/>
      <c r="J3" s="20"/>
      <c r="K3" s="20" t="s">
        <v>452</v>
      </c>
      <c r="L3" s="20"/>
      <c r="M3" s="20" t="s">
        <v>453</v>
      </c>
      <c r="N3" s="20"/>
      <c r="O3" s="20"/>
      <c r="P3" s="20"/>
      <c r="Q3" s="20"/>
      <c r="R3" s="20"/>
      <c r="S3" s="20"/>
      <c r="T3" s="20"/>
      <c r="U3" s="20"/>
      <c r="V3" s="20"/>
      <c r="W3" s="20"/>
    </row>
    <row r="4" spans="1:52" ht="14.4" customHeight="1" x14ac:dyDescent="0.25">
      <c r="A4" s="11"/>
      <c r="B4" s="376" t="s">
        <v>57</v>
      </c>
      <c r="C4" s="376"/>
      <c r="D4" s="376"/>
      <c r="E4" s="376"/>
      <c r="F4" s="376"/>
      <c r="G4" s="376"/>
      <c r="H4" s="377"/>
      <c r="I4" s="20"/>
      <c r="J4" s="20"/>
      <c r="K4" s="20" t="s">
        <v>454</v>
      </c>
      <c r="L4" s="20"/>
      <c r="M4" s="20" t="s">
        <v>455</v>
      </c>
      <c r="N4" s="20"/>
      <c r="O4" s="20"/>
      <c r="P4" s="20"/>
      <c r="Q4" s="20"/>
      <c r="R4" s="20"/>
      <c r="S4" s="20"/>
      <c r="T4" s="20"/>
      <c r="U4" s="20"/>
      <c r="V4" s="20"/>
      <c r="W4" s="20"/>
    </row>
    <row r="5" spans="1:52" ht="14.4" customHeight="1" thickBot="1" x14ac:dyDescent="0.3">
      <c r="A5" s="11"/>
      <c r="B5" s="376"/>
      <c r="C5" s="376"/>
      <c r="D5" s="376"/>
      <c r="E5" s="376"/>
      <c r="F5" s="376"/>
      <c r="G5" s="376"/>
      <c r="H5" s="377"/>
      <c r="I5" s="20"/>
      <c r="J5" s="397"/>
      <c r="K5" s="397" t="s">
        <v>456</v>
      </c>
      <c r="L5" s="397" t="s">
        <v>319</v>
      </c>
      <c r="M5" s="397" t="s">
        <v>456</v>
      </c>
      <c r="N5" s="397" t="s">
        <v>319</v>
      </c>
      <c r="O5" s="20"/>
      <c r="P5" s="20"/>
      <c r="Q5" s="20"/>
      <c r="R5" s="20"/>
      <c r="S5" s="20"/>
      <c r="T5" s="20"/>
      <c r="U5" s="20"/>
      <c r="V5" s="20"/>
      <c r="W5" s="20"/>
    </row>
    <row r="6" spans="1:52" ht="14.4" customHeight="1" x14ac:dyDescent="0.25">
      <c r="A6" s="11"/>
      <c r="B6" s="378"/>
      <c r="C6" s="379" t="s">
        <v>414</v>
      </c>
      <c r="D6" s="1084" t="s">
        <v>415</v>
      </c>
      <c r="E6" s="1085"/>
      <c r="F6" s="1084" t="s">
        <v>416</v>
      </c>
      <c r="G6" s="1085"/>
      <c r="H6" s="377"/>
      <c r="I6" s="20"/>
      <c r="J6" s="20" t="s">
        <v>426</v>
      </c>
      <c r="K6" s="20">
        <f>D9*(1-0.2)</f>
        <v>4000</v>
      </c>
      <c r="L6" s="398">
        <f>K6*(E9-C9)</f>
        <v>-40000</v>
      </c>
      <c r="M6" s="20">
        <f>F9+0.2*D9</f>
        <v>6000</v>
      </c>
      <c r="N6" s="398">
        <f>(G9-C9)*M6</f>
        <v>-120000</v>
      </c>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 customHeight="1" x14ac:dyDescent="0.25">
      <c r="A7" s="11"/>
      <c r="B7" s="380"/>
      <c r="C7" s="381" t="s">
        <v>417</v>
      </c>
      <c r="D7" s="1086"/>
      <c r="E7" s="1087"/>
      <c r="F7" s="1086"/>
      <c r="G7" s="1087"/>
      <c r="H7" s="377"/>
      <c r="I7" s="20"/>
      <c r="J7" s="20" t="s">
        <v>427</v>
      </c>
      <c r="K7" s="20">
        <f>D10+0.2*F10</f>
        <v>6000</v>
      </c>
      <c r="L7" s="398">
        <f>K7*(E10-C10)</f>
        <v>60000</v>
      </c>
      <c r="M7" s="20">
        <f>F10*(1-0.2)</f>
        <v>4000</v>
      </c>
      <c r="N7" s="398">
        <f>(G10-C10)*M7</f>
        <v>80000</v>
      </c>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 customHeight="1" thickBot="1" x14ac:dyDescent="0.3">
      <c r="A8" s="11"/>
      <c r="B8" s="382" t="s">
        <v>419</v>
      </c>
      <c r="C8" s="383" t="s">
        <v>420</v>
      </c>
      <c r="D8" s="382" t="s">
        <v>421</v>
      </c>
      <c r="E8" s="383" t="s">
        <v>422</v>
      </c>
      <c r="F8" s="382" t="s">
        <v>421</v>
      </c>
      <c r="G8" s="383" t="s">
        <v>422</v>
      </c>
      <c r="H8" s="377"/>
      <c r="I8" s="20"/>
      <c r="J8" s="20"/>
      <c r="K8" s="20"/>
      <c r="L8" s="399">
        <f>L7+L6</f>
        <v>20000</v>
      </c>
      <c r="M8" s="20"/>
      <c r="N8" s="399">
        <f>N6+N7</f>
        <v>-40000</v>
      </c>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 customHeight="1" x14ac:dyDescent="0.25">
      <c r="A9" s="11"/>
      <c r="B9" s="384" t="s">
        <v>426</v>
      </c>
      <c r="C9" s="385">
        <v>170</v>
      </c>
      <c r="D9" s="386">
        <v>5000</v>
      </c>
      <c r="E9" s="385">
        <v>160</v>
      </c>
      <c r="F9" s="386">
        <v>5000</v>
      </c>
      <c r="G9" s="387">
        <v>150</v>
      </c>
      <c r="H9" s="37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 customHeight="1" x14ac:dyDescent="0.25">
      <c r="A10" s="11"/>
      <c r="B10" s="384" t="s">
        <v>427</v>
      </c>
      <c r="C10" s="385">
        <v>130</v>
      </c>
      <c r="D10" s="386">
        <v>5000</v>
      </c>
      <c r="E10" s="385">
        <v>140</v>
      </c>
      <c r="F10" s="386">
        <v>5000</v>
      </c>
      <c r="G10" s="387">
        <v>150</v>
      </c>
      <c r="H10" s="377"/>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customHeight="1" thickBot="1" x14ac:dyDescent="0.3">
      <c r="A11" s="11"/>
      <c r="B11" s="388" t="s">
        <v>323</v>
      </c>
      <c r="C11" s="389">
        <v>150</v>
      </c>
      <c r="D11" s="390">
        <v>10000</v>
      </c>
      <c r="E11" s="391">
        <v>150</v>
      </c>
      <c r="F11" s="390">
        <v>10000</v>
      </c>
      <c r="G11" s="392">
        <v>150</v>
      </c>
      <c r="H11" s="377"/>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 customHeight="1" x14ac:dyDescent="0.25">
      <c r="A12" s="11"/>
      <c r="B12" s="393"/>
      <c r="C12" s="393"/>
      <c r="D12" s="393"/>
      <c r="E12" s="393"/>
      <c r="F12" s="393"/>
      <c r="G12" s="376"/>
      <c r="H12" s="377"/>
      <c r="I12" s="20"/>
      <c r="J12" s="20" t="s">
        <v>457</v>
      </c>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 customHeight="1" x14ac:dyDescent="0.25">
      <c r="A13" s="11"/>
      <c r="B13" s="15" t="s">
        <v>428</v>
      </c>
      <c r="C13" s="15"/>
      <c r="D13" s="374"/>
      <c r="E13" s="374"/>
      <c r="F13" s="374"/>
      <c r="G13" s="374"/>
      <c r="H13" s="375"/>
      <c r="I13" s="20"/>
      <c r="J13" s="20" t="s">
        <v>458</v>
      </c>
      <c r="K13" s="20" t="s">
        <v>459</v>
      </c>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 customHeight="1" x14ac:dyDescent="0.25">
      <c r="A14" s="394"/>
      <c r="B14" s="15" t="s">
        <v>429</v>
      </c>
      <c r="C14" s="15"/>
      <c r="D14" s="374"/>
      <c r="E14" s="374"/>
      <c r="F14" s="374"/>
      <c r="G14" s="374"/>
      <c r="H14" s="375"/>
      <c r="I14" s="20"/>
      <c r="J14" s="20" t="s">
        <v>427</v>
      </c>
      <c r="K14" s="20" t="s">
        <v>460</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 customHeight="1" x14ac:dyDescent="0.25">
      <c r="A15" s="394"/>
      <c r="B15" s="15" t="s">
        <v>433</v>
      </c>
      <c r="C15" s="15"/>
      <c r="D15" s="374"/>
      <c r="E15" s="374"/>
      <c r="F15" s="374"/>
      <c r="G15" s="374"/>
      <c r="H15" s="375"/>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 customHeight="1" x14ac:dyDescent="0.25">
      <c r="A16" s="394"/>
      <c r="B16" s="15" t="s">
        <v>434</v>
      </c>
      <c r="C16" s="270"/>
      <c r="D16" s="374"/>
      <c r="E16" s="374"/>
      <c r="F16" s="374"/>
      <c r="G16" s="374"/>
      <c r="H16" s="375"/>
      <c r="I16" s="20"/>
      <c r="J16" s="20" t="s">
        <v>0</v>
      </c>
      <c r="K16" s="20" t="s">
        <v>461</v>
      </c>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 customHeight="1" x14ac:dyDescent="0.25">
      <c r="A17" s="394"/>
      <c r="B17" s="395"/>
      <c r="C17" s="374"/>
      <c r="D17" s="374"/>
      <c r="E17" s="374"/>
      <c r="F17" s="374"/>
      <c r="G17" s="374"/>
      <c r="H17" s="375"/>
      <c r="I17" s="20"/>
      <c r="J17" s="20"/>
      <c r="K17" s="20" t="s">
        <v>462</v>
      </c>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 customHeight="1" x14ac:dyDescent="0.25">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 customHeight="1" x14ac:dyDescent="0.25">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 customHeight="1" x14ac:dyDescent="0.25">
      <c r="A20" s="11"/>
      <c r="B20" s="374"/>
      <c r="C20" s="374"/>
      <c r="D20" s="374"/>
      <c r="E20" s="374"/>
      <c r="F20" s="374"/>
      <c r="G20" s="374"/>
      <c r="H20" s="375"/>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 customHeight="1" x14ac:dyDescent="0.25">
      <c r="A21" s="11">
        <v>0.5</v>
      </c>
      <c r="B21" s="374" t="s">
        <v>1</v>
      </c>
      <c r="C21" s="374"/>
      <c r="D21" s="374"/>
      <c r="E21" s="374"/>
      <c r="F21" s="374"/>
      <c r="G21" s="374"/>
      <c r="H21" s="375"/>
      <c r="I21" s="20"/>
      <c r="J21" s="20" t="s">
        <v>1</v>
      </c>
      <c r="K21" s="20" t="s">
        <v>463</v>
      </c>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 customHeight="1" x14ac:dyDescent="0.25">
      <c r="A22" s="11"/>
      <c r="B22" s="374" t="s">
        <v>437</v>
      </c>
      <c r="C22" s="374"/>
      <c r="D22" s="374"/>
      <c r="E22" s="374"/>
      <c r="F22" s="374"/>
      <c r="G22" s="374"/>
      <c r="H22" s="375"/>
      <c r="I22" s="20"/>
      <c r="J22" s="20"/>
      <c r="K22" s="20" t="s">
        <v>464</v>
      </c>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 customHeight="1" x14ac:dyDescent="0.25">
      <c r="A23" s="11"/>
      <c r="B23" s="374" t="s">
        <v>438</v>
      </c>
      <c r="C23" s="374"/>
      <c r="D23" s="374"/>
      <c r="E23" s="374"/>
      <c r="F23" s="374"/>
      <c r="G23" s="374"/>
      <c r="H23" s="375"/>
      <c r="I23" s="20"/>
      <c r="J23" s="20"/>
      <c r="K23" s="20" t="s">
        <v>465</v>
      </c>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 customHeight="1" thickBot="1" x14ac:dyDescent="0.3">
      <c r="A24" s="278"/>
      <c r="B24" s="279"/>
      <c r="C24" s="279"/>
      <c r="D24" s="279"/>
      <c r="E24" s="279"/>
      <c r="F24" s="279"/>
      <c r="G24" s="279"/>
      <c r="H24" s="28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 customHeight="1" x14ac:dyDescent="0.25">
      <c r="A25" s="20"/>
      <c r="B25" s="20"/>
      <c r="C25" s="20"/>
      <c r="D25" s="20"/>
      <c r="E25" s="20"/>
      <c r="F25" s="20"/>
      <c r="G25" s="20"/>
      <c r="H25" s="20"/>
      <c r="I25" s="20"/>
      <c r="J25" s="20">
        <v>1</v>
      </c>
      <c r="K25" s="20" t="s">
        <v>466</v>
      </c>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 customHeight="1" x14ac:dyDescent="0.25">
      <c r="A26" s="20"/>
      <c r="B26" s="20"/>
      <c r="C26" s="20"/>
      <c r="D26" s="20"/>
      <c r="E26" s="20"/>
      <c r="F26" s="20"/>
      <c r="G26" s="20"/>
      <c r="H26" s="20"/>
      <c r="I26" s="20"/>
      <c r="J26" s="20"/>
      <c r="K26" s="20" t="s">
        <v>467</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 customHeight="1" x14ac:dyDescent="0.25">
      <c r="A28" s="20"/>
      <c r="B28" s="20"/>
      <c r="C28" s="20"/>
      <c r="D28" s="20"/>
      <c r="E28" s="20"/>
      <c r="F28" s="20"/>
      <c r="G28" s="20"/>
      <c r="H28" s="20"/>
      <c r="I28" s="20"/>
      <c r="J28" s="20">
        <v>2</v>
      </c>
      <c r="K28" s="20" t="s">
        <v>468</v>
      </c>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 customHeight="1" x14ac:dyDescent="0.2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 customHeight="1" x14ac:dyDescent="0.2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 customHeight="1"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 customHeight="1"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 customHeight="1" x14ac:dyDescent="0.2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 customHeight="1" x14ac:dyDescent="0.2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 customHeight="1"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 customHeight="1" x14ac:dyDescent="0.2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 customHeigh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 customHeight="1"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 customHeigh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 customHeigh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 customHeigh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mergeCells count="2">
    <mergeCell ref="D6:E7"/>
    <mergeCell ref="F6:G7"/>
  </mergeCells>
  <conditionalFormatting sqref="B1">
    <cfRule type="cellIs" dxfId="131" priority="1" operator="equal">
      <formula>"Review Later"</formula>
    </cfRule>
    <cfRule type="cellIs" dxfId="130" priority="2" operator="equal">
      <formula>"Finished"</formula>
    </cfRule>
    <cfRule type="cellIs" dxfId="129"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205"/>
  <sheetViews>
    <sheetView zoomScaleNormal="100" workbookViewId="0"/>
  </sheetViews>
  <sheetFormatPr defaultColWidth="0" defaultRowHeight="0" customHeight="1" zeroHeight="1" x14ac:dyDescent="0.25"/>
  <cols>
    <col min="1" max="1" width="11.6640625" style="1" customWidth="1"/>
    <col min="2" max="2" width="51.88671875" style="1" customWidth="1"/>
    <col min="3" max="3" width="20.6640625" style="1" customWidth="1"/>
    <col min="4" max="52" width="12.109375" style="1" customWidth="1"/>
    <col min="53" max="55" width="0" style="1" hidden="1" customWidth="1"/>
    <col min="56" max="16384" width="12.109375" style="1" hidden="1"/>
  </cols>
  <sheetData>
    <row r="1" spans="1:52" ht="14.85" customHeight="1" thickBot="1" x14ac:dyDescent="0.3">
      <c r="A1" s="3">
        <v>2</v>
      </c>
      <c r="B1" s="4"/>
      <c r="C1" s="5"/>
      <c r="D1" s="5"/>
      <c r="E1" s="6"/>
      <c r="F1" s="7"/>
      <c r="G1" s="7"/>
      <c r="H1" s="7"/>
      <c r="I1" s="7"/>
      <c r="J1" s="7"/>
      <c r="K1" s="7"/>
      <c r="L1" s="7"/>
      <c r="M1" s="7"/>
      <c r="N1" s="7"/>
      <c r="O1" s="7"/>
      <c r="P1" s="7"/>
      <c r="Q1" s="7"/>
      <c r="R1" s="7"/>
      <c r="S1" s="7"/>
      <c r="T1" s="7"/>
      <c r="U1" s="7"/>
      <c r="V1" s="7"/>
      <c r="W1" s="7"/>
    </row>
    <row r="2" spans="1:52" ht="14.85" customHeight="1" x14ac:dyDescent="0.25">
      <c r="A2" s="8" t="s">
        <v>4</v>
      </c>
      <c r="B2" s="9"/>
      <c r="C2" s="9"/>
      <c r="D2" s="9"/>
      <c r="E2" s="10"/>
      <c r="F2" s="7"/>
      <c r="G2" s="7"/>
      <c r="H2" s="7"/>
      <c r="I2" s="7"/>
      <c r="J2" s="7"/>
      <c r="K2" s="7"/>
      <c r="L2" s="7"/>
      <c r="M2" s="7"/>
      <c r="N2" s="7"/>
      <c r="O2" s="7"/>
      <c r="P2" s="7"/>
      <c r="Q2" s="7"/>
      <c r="R2" s="7"/>
      <c r="S2" s="7"/>
      <c r="T2" s="7"/>
      <c r="U2" s="7"/>
      <c r="V2" s="7"/>
      <c r="W2" s="7"/>
    </row>
    <row r="3" spans="1:52" ht="14.85" customHeight="1" x14ac:dyDescent="0.25">
      <c r="A3" s="11">
        <v>1.25</v>
      </c>
      <c r="B3" s="9"/>
      <c r="C3" s="9"/>
      <c r="D3" s="9"/>
      <c r="E3" s="10"/>
      <c r="F3" s="7"/>
      <c r="G3" s="7"/>
      <c r="H3" s="7"/>
      <c r="I3" s="7"/>
      <c r="J3" s="7"/>
      <c r="K3" s="7"/>
      <c r="L3" s="7"/>
      <c r="M3" s="7"/>
      <c r="N3" s="7"/>
      <c r="O3" s="7"/>
      <c r="P3" s="7"/>
      <c r="Q3" s="7"/>
      <c r="R3" s="7"/>
      <c r="S3" s="7"/>
      <c r="T3" s="7"/>
      <c r="U3" s="7"/>
      <c r="V3" s="7"/>
      <c r="W3" s="7"/>
    </row>
    <row r="4" spans="1:52" ht="14.85" customHeight="1" x14ac:dyDescent="0.25">
      <c r="A4" s="11"/>
      <c r="B4" s="15" t="s">
        <v>57</v>
      </c>
      <c r="C4" s="9"/>
      <c r="D4" s="13"/>
      <c r="E4" s="14"/>
      <c r="F4" s="7"/>
      <c r="G4" s="7"/>
      <c r="H4" s="7"/>
      <c r="I4" s="7"/>
      <c r="J4" s="7"/>
      <c r="K4" s="7"/>
      <c r="L4" s="7"/>
      <c r="M4" s="7"/>
      <c r="N4" s="7"/>
      <c r="O4" s="7"/>
      <c r="P4" s="7"/>
      <c r="Q4" s="7"/>
      <c r="R4" s="7"/>
      <c r="S4" s="7"/>
      <c r="T4" s="7"/>
      <c r="U4" s="7"/>
      <c r="V4" s="7"/>
      <c r="W4" s="7"/>
    </row>
    <row r="5" spans="1:52" ht="14.85" customHeight="1" thickBot="1" x14ac:dyDescent="0.3">
      <c r="A5" s="11"/>
      <c r="B5" s="15"/>
      <c r="C5" s="9"/>
      <c r="D5" s="13"/>
      <c r="E5" s="14"/>
      <c r="F5" s="7"/>
      <c r="G5" s="7"/>
      <c r="H5" s="7"/>
      <c r="I5" s="7"/>
      <c r="J5" s="7"/>
      <c r="K5" s="7"/>
      <c r="L5" s="7"/>
      <c r="M5" s="7"/>
      <c r="N5" s="7"/>
      <c r="O5" s="7"/>
      <c r="P5" s="7"/>
      <c r="Q5" s="7"/>
      <c r="R5" s="7"/>
      <c r="S5" s="7"/>
      <c r="T5" s="7"/>
      <c r="U5" s="7"/>
      <c r="V5" s="7"/>
      <c r="W5" s="7"/>
    </row>
    <row r="6" spans="1:52" ht="14.4" customHeight="1" thickBot="1" x14ac:dyDescent="0.3">
      <c r="A6" s="11"/>
      <c r="B6" s="1066" t="s">
        <v>58</v>
      </c>
      <c r="C6" s="1066"/>
      <c r="D6" s="13"/>
      <c r="E6" s="14"/>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c r="B7" s="36" t="s">
        <v>59</v>
      </c>
      <c r="C7" s="37">
        <v>100</v>
      </c>
      <c r="D7" s="13"/>
      <c r="E7" s="14"/>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38" t="s">
        <v>60</v>
      </c>
      <c r="C8" s="39">
        <v>750</v>
      </c>
      <c r="D8" s="13"/>
      <c r="E8" s="14"/>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38" t="s">
        <v>61</v>
      </c>
      <c r="C9" s="40">
        <v>7.5</v>
      </c>
      <c r="D9" s="13"/>
      <c r="E9" s="14"/>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c r="B10" s="38" t="s">
        <v>62</v>
      </c>
      <c r="C10" s="40">
        <v>0.45</v>
      </c>
      <c r="D10" s="13"/>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11"/>
      <c r="B11" s="38" t="s">
        <v>63</v>
      </c>
      <c r="C11" s="41">
        <v>0.03</v>
      </c>
      <c r="D11" s="13"/>
      <c r="E11" s="14"/>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x14ac:dyDescent="0.25">
      <c r="A12" s="11"/>
      <c r="B12" s="38" t="s">
        <v>64</v>
      </c>
      <c r="C12" s="42" t="s">
        <v>65</v>
      </c>
      <c r="D12" s="13"/>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11"/>
      <c r="B13" s="43" t="s">
        <v>66</v>
      </c>
      <c r="C13" s="44">
        <v>600</v>
      </c>
      <c r="D13" s="13"/>
      <c r="E13" s="14"/>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x14ac:dyDescent="0.3">
      <c r="A14" s="11"/>
      <c r="B14" s="15"/>
      <c r="C14" s="9"/>
      <c r="D14" s="13"/>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x14ac:dyDescent="0.3">
      <c r="A15" s="11"/>
      <c r="B15" s="1067" t="s">
        <v>67</v>
      </c>
      <c r="C15" s="1068"/>
      <c r="D15" s="13"/>
      <c r="E15" s="14"/>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c r="B16" s="45" t="s">
        <v>68</v>
      </c>
      <c r="C16" s="46">
        <v>0.2</v>
      </c>
      <c r="D16" s="13"/>
      <c r="E16" s="14"/>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c r="B17" s="47" t="s">
        <v>69</v>
      </c>
      <c r="C17" s="41">
        <v>0.09</v>
      </c>
      <c r="D17" s="13"/>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11"/>
      <c r="B18" s="47" t="s">
        <v>70</v>
      </c>
      <c r="C18" s="42" t="s">
        <v>71</v>
      </c>
      <c r="D18" s="13"/>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thickBot="1" x14ac:dyDescent="0.3">
      <c r="A19" s="11"/>
      <c r="B19" s="48" t="s">
        <v>72</v>
      </c>
      <c r="C19" s="49" t="s">
        <v>73</v>
      </c>
      <c r="D19" s="13"/>
      <c r="E19" s="14"/>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11"/>
      <c r="B20" s="15"/>
      <c r="C20" s="9"/>
      <c r="D20" s="13"/>
      <c r="E20" s="14"/>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11"/>
      <c r="B21" s="12" t="s">
        <v>74</v>
      </c>
      <c r="C21" s="9"/>
      <c r="D21" s="13"/>
      <c r="E21" s="1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11"/>
      <c r="B22" s="15"/>
      <c r="C22" s="9"/>
      <c r="D22" s="13"/>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11"/>
      <c r="B23" s="19" t="s">
        <v>75</v>
      </c>
      <c r="C23" s="9"/>
      <c r="D23" s="9"/>
      <c r="E23" s="10"/>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x14ac:dyDescent="0.3">
      <c r="A24" s="28"/>
      <c r="B24" s="29"/>
      <c r="C24" s="30"/>
      <c r="D24" s="30"/>
      <c r="E24" s="50"/>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34" t="s">
        <v>76</v>
      </c>
      <c r="C26" s="7">
        <f>C9/C10</f>
        <v>16.666666666666668</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34" t="s">
        <v>77</v>
      </c>
      <c r="C27" s="7">
        <f>C7/(C7+C26)</f>
        <v>0.8571428571428571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34" t="s">
        <v>78</v>
      </c>
      <c r="C28" s="7">
        <f>(1+C11)^2*C13*(1+C16)/(1+C17)</f>
        <v>700.77798165137608</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34" t="s">
        <v>79</v>
      </c>
      <c r="C29" s="7">
        <f>C8*C27+(1-C27)*C28</f>
        <v>742.96828309305363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34"/>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34"/>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34"/>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34"/>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mergeCells count="2">
    <mergeCell ref="B6:C6"/>
    <mergeCell ref="B15:C15"/>
  </mergeCells>
  <conditionalFormatting sqref="B1">
    <cfRule type="cellIs" dxfId="237" priority="1" operator="equal">
      <formula>"Review Later"</formula>
    </cfRule>
    <cfRule type="cellIs" dxfId="236" priority="2" operator="equal">
      <formula>"Finished"</formula>
    </cfRule>
    <cfRule type="cellIs" dxfId="235" priority="3" operator="equal">
      <formula>"Incomplete"</formula>
    </cfRule>
  </conditionalFormatting>
  <pageMargins left="0.7" right="0.7" top="0.75" bottom="0.75" header="0.51180555555555496" footer="0.51180555555555496"/>
  <pageSetup firstPageNumber="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3"/>
  <sheetViews>
    <sheetView zoomScaleNormal="100" workbookViewId="0"/>
  </sheetViews>
  <sheetFormatPr defaultRowHeight="14.4" x14ac:dyDescent="0.3"/>
  <cols>
    <col min="2" max="2" width="17.109375" customWidth="1"/>
    <col min="3" max="3" width="17.5546875" customWidth="1"/>
    <col min="4" max="4" width="18.88671875" bestFit="1" customWidth="1"/>
    <col min="5" max="5" width="12.5546875" bestFit="1" customWidth="1"/>
    <col min="6" max="7" width="10.88671875" bestFit="1" customWidth="1"/>
    <col min="8" max="8" width="16.109375" customWidth="1"/>
  </cols>
  <sheetData>
    <row r="1" spans="1:14" ht="15" thickBot="1" x14ac:dyDescent="0.35">
      <c r="A1" s="3">
        <v>12</v>
      </c>
      <c r="B1" s="4"/>
      <c r="C1" s="246"/>
      <c r="D1" s="246"/>
      <c r="E1" s="246"/>
      <c r="F1" s="246"/>
      <c r="G1" s="246"/>
      <c r="H1" s="247"/>
      <c r="I1" s="20"/>
      <c r="J1" s="20"/>
      <c r="K1" s="20"/>
      <c r="L1" s="20"/>
      <c r="M1" s="20"/>
      <c r="N1" s="20"/>
    </row>
    <row r="2" spans="1:14" x14ac:dyDescent="0.3">
      <c r="A2" s="8" t="s">
        <v>4</v>
      </c>
      <c r="B2" s="374"/>
      <c r="C2" s="374"/>
      <c r="D2" s="374"/>
      <c r="E2" s="374"/>
      <c r="F2" s="374"/>
      <c r="G2" s="374"/>
      <c r="H2" s="375"/>
      <c r="I2" s="20"/>
      <c r="J2" s="20"/>
      <c r="K2" s="20"/>
      <c r="L2" s="20"/>
      <c r="M2" s="20"/>
      <c r="N2" s="20"/>
    </row>
    <row r="3" spans="1:14" x14ac:dyDescent="0.3">
      <c r="A3" s="11">
        <v>2.5</v>
      </c>
      <c r="B3" s="9"/>
      <c r="C3" s="374"/>
      <c r="D3" s="374"/>
      <c r="E3" s="374"/>
      <c r="F3" s="374"/>
      <c r="G3" s="374"/>
      <c r="H3" s="375"/>
      <c r="I3" s="20"/>
      <c r="J3" s="20"/>
      <c r="K3" s="20"/>
      <c r="L3" s="20"/>
      <c r="M3" s="20"/>
      <c r="N3" s="20"/>
    </row>
    <row r="4" spans="1:14" x14ac:dyDescent="0.3">
      <c r="A4" s="11"/>
      <c r="B4" s="376" t="s">
        <v>469</v>
      </c>
      <c r="C4" s="376"/>
      <c r="D4" s="376"/>
      <c r="E4" s="376"/>
      <c r="F4" s="376"/>
      <c r="G4" s="376"/>
      <c r="H4" s="377"/>
      <c r="I4" s="20"/>
      <c r="J4" s="20"/>
      <c r="K4" s="20"/>
      <c r="L4" s="20"/>
      <c r="M4" s="20"/>
      <c r="N4" s="20"/>
    </row>
    <row r="5" spans="1:14" ht="15" thickBot="1" x14ac:dyDescent="0.35">
      <c r="A5" s="11"/>
      <c r="B5" s="400"/>
      <c r="C5" s="400"/>
      <c r="D5" s="400"/>
      <c r="E5" s="400"/>
      <c r="F5" s="400"/>
      <c r="G5" s="376"/>
      <c r="H5" s="377"/>
      <c r="I5" s="20"/>
      <c r="J5" s="20"/>
      <c r="K5" s="20"/>
      <c r="L5" s="20"/>
      <c r="M5" s="20"/>
      <c r="N5" s="20"/>
    </row>
    <row r="6" spans="1:14" x14ac:dyDescent="0.3">
      <c r="A6" s="11"/>
      <c r="B6" s="378"/>
      <c r="C6" s="401" t="s">
        <v>470</v>
      </c>
      <c r="D6" s="401" t="s">
        <v>471</v>
      </c>
      <c r="E6" s="401" t="s">
        <v>472</v>
      </c>
      <c r="F6" s="401" t="s">
        <v>473</v>
      </c>
      <c r="G6" s="379" t="s">
        <v>414</v>
      </c>
      <c r="H6" s="377"/>
      <c r="I6" s="20"/>
      <c r="J6" s="20"/>
      <c r="K6" s="20"/>
      <c r="L6" s="20"/>
      <c r="M6" s="20"/>
      <c r="N6" s="20"/>
    </row>
    <row r="7" spans="1:14" ht="15" thickBot="1" x14ac:dyDescent="0.35">
      <c r="A7" s="11"/>
      <c r="B7" s="382" t="s">
        <v>474</v>
      </c>
      <c r="C7" s="402" t="s">
        <v>475</v>
      </c>
      <c r="D7" s="402" t="s">
        <v>476</v>
      </c>
      <c r="E7" s="402" t="s">
        <v>477</v>
      </c>
      <c r="F7" s="402" t="s">
        <v>478</v>
      </c>
      <c r="G7" s="383" t="s">
        <v>478</v>
      </c>
      <c r="H7" s="377"/>
      <c r="I7" s="20"/>
      <c r="J7" s="20"/>
      <c r="K7" s="20"/>
      <c r="L7" s="20"/>
      <c r="M7" s="20"/>
      <c r="N7" s="20"/>
    </row>
    <row r="8" spans="1:14" x14ac:dyDescent="0.3">
      <c r="A8" s="11"/>
      <c r="B8" s="384" t="s">
        <v>445</v>
      </c>
      <c r="C8" s="403">
        <v>15271</v>
      </c>
      <c r="D8" s="404">
        <v>864000</v>
      </c>
      <c r="E8" s="393">
        <v>924</v>
      </c>
      <c r="F8" s="405">
        <v>1</v>
      </c>
      <c r="G8" s="406">
        <v>1</v>
      </c>
      <c r="H8" s="377"/>
      <c r="I8" s="20"/>
      <c r="J8" s="20"/>
      <c r="K8" s="20"/>
      <c r="L8" s="20"/>
      <c r="M8" s="20"/>
      <c r="N8" s="20"/>
    </row>
    <row r="9" spans="1:14" x14ac:dyDescent="0.3">
      <c r="A9" s="11"/>
      <c r="B9" s="384" t="s">
        <v>446</v>
      </c>
      <c r="C9" s="403">
        <v>7250</v>
      </c>
      <c r="D9" s="404">
        <v>732000</v>
      </c>
      <c r="E9" s="393">
        <v>623</v>
      </c>
      <c r="F9" s="405">
        <v>1.1000000000000001</v>
      </c>
      <c r="G9" s="406">
        <v>1.7254552312793729</v>
      </c>
      <c r="H9" s="377"/>
      <c r="I9" s="20"/>
      <c r="J9" s="20"/>
      <c r="K9" s="20"/>
      <c r="L9" s="20"/>
      <c r="M9" s="20"/>
      <c r="N9" s="20"/>
    </row>
    <row r="10" spans="1:14" ht="15" thickBot="1" x14ac:dyDescent="0.35">
      <c r="A10" s="11"/>
      <c r="B10" s="388" t="s">
        <v>479</v>
      </c>
      <c r="C10" s="407">
        <v>10532</v>
      </c>
      <c r="D10" s="408">
        <v>505000</v>
      </c>
      <c r="E10" s="409">
        <v>185</v>
      </c>
      <c r="F10" s="410">
        <v>1.8</v>
      </c>
      <c r="G10" s="411">
        <v>0.72124196877543467</v>
      </c>
      <c r="H10" s="377"/>
      <c r="I10" s="20"/>
      <c r="J10" s="20"/>
      <c r="K10" s="20"/>
      <c r="L10" s="20"/>
      <c r="M10" s="20"/>
      <c r="N10" s="20"/>
    </row>
    <row r="11" spans="1:14" ht="15" thickBot="1" x14ac:dyDescent="0.35">
      <c r="A11" s="11"/>
      <c r="B11" s="393"/>
      <c r="C11" s="393"/>
      <c r="D11" s="393"/>
      <c r="E11" s="393"/>
      <c r="F11" s="393"/>
      <c r="G11" s="376"/>
      <c r="H11" s="377"/>
      <c r="I11" s="20"/>
      <c r="J11" s="20"/>
      <c r="K11" s="20"/>
      <c r="L11" s="20"/>
      <c r="M11" s="20"/>
      <c r="N11" s="20"/>
    </row>
    <row r="12" spans="1:14" ht="15" thickBot="1" x14ac:dyDescent="0.35">
      <c r="A12" s="11"/>
      <c r="B12" s="412">
        <v>18000</v>
      </c>
      <c r="C12" s="413" t="s">
        <v>480</v>
      </c>
      <c r="D12" s="414"/>
      <c r="E12" s="415"/>
      <c r="F12" s="416"/>
      <c r="G12" s="417"/>
      <c r="H12" s="377"/>
      <c r="I12" s="20"/>
      <c r="J12" s="20"/>
      <c r="K12" s="20"/>
      <c r="L12" s="20"/>
      <c r="M12" s="20"/>
      <c r="N12" s="20"/>
    </row>
    <row r="13" spans="1:14" x14ac:dyDescent="0.3">
      <c r="A13" s="11"/>
      <c r="B13" s="374"/>
      <c r="C13" s="418"/>
      <c r="D13" s="418"/>
      <c r="E13" s="393"/>
      <c r="F13" s="374"/>
      <c r="G13" s="376"/>
      <c r="H13" s="377"/>
      <c r="I13" s="20"/>
      <c r="J13" s="20"/>
      <c r="K13" s="20"/>
      <c r="L13" s="20"/>
      <c r="M13" s="20"/>
      <c r="N13" s="20"/>
    </row>
    <row r="14" spans="1:14" x14ac:dyDescent="0.3">
      <c r="A14" s="11"/>
      <c r="B14" s="374" t="s">
        <v>481</v>
      </c>
      <c r="C14" s="418"/>
      <c r="D14" s="418"/>
      <c r="E14" s="393"/>
      <c r="F14" s="374"/>
      <c r="G14" s="376"/>
      <c r="H14" s="377"/>
      <c r="I14" s="20"/>
      <c r="J14" s="20"/>
      <c r="K14" s="20"/>
      <c r="L14" s="20"/>
      <c r="M14" s="20"/>
      <c r="N14" s="20"/>
    </row>
    <row r="15" spans="1:14" x14ac:dyDescent="0.3">
      <c r="A15" s="11"/>
      <c r="B15" s="374" t="s">
        <v>482</v>
      </c>
      <c r="C15" s="418"/>
      <c r="D15" s="418"/>
      <c r="E15" s="374"/>
      <c r="F15" s="374"/>
      <c r="G15" s="376"/>
      <c r="H15" s="377"/>
      <c r="I15" s="20"/>
      <c r="J15" s="20"/>
      <c r="K15" s="20"/>
      <c r="L15" s="20"/>
      <c r="M15" s="20"/>
      <c r="N15" s="20"/>
    </row>
    <row r="16" spans="1:14" x14ac:dyDescent="0.3">
      <c r="A16" s="11"/>
      <c r="B16" s="374" t="s">
        <v>483</v>
      </c>
      <c r="C16" s="418"/>
      <c r="D16" s="418"/>
      <c r="E16" s="374"/>
      <c r="F16" s="374"/>
      <c r="G16" s="376"/>
      <c r="H16" s="377"/>
      <c r="I16" s="20"/>
      <c r="J16" s="20"/>
      <c r="K16" s="20"/>
      <c r="L16" s="20"/>
      <c r="M16" s="20"/>
      <c r="N16" s="20"/>
    </row>
    <row r="17" spans="1:14" x14ac:dyDescent="0.3">
      <c r="A17" s="11"/>
      <c r="B17" s="374"/>
      <c r="C17" s="374"/>
      <c r="D17" s="374"/>
      <c r="E17" s="374"/>
      <c r="F17" s="374"/>
      <c r="G17" s="374"/>
      <c r="H17" s="375"/>
      <c r="I17" s="20"/>
      <c r="J17" s="20"/>
      <c r="K17" s="20"/>
      <c r="L17" s="20"/>
      <c r="M17" s="20"/>
      <c r="N17" s="20"/>
    </row>
    <row r="18" spans="1:14" x14ac:dyDescent="0.3">
      <c r="A18" s="11">
        <v>2</v>
      </c>
      <c r="B18" s="374" t="s">
        <v>10</v>
      </c>
      <c r="C18" s="374"/>
      <c r="D18" s="374"/>
      <c r="E18" s="374"/>
      <c r="F18" s="374"/>
      <c r="G18" s="374"/>
      <c r="H18" s="375"/>
      <c r="I18" s="20"/>
      <c r="J18" s="20"/>
      <c r="K18" s="20"/>
      <c r="L18" s="20"/>
      <c r="M18" s="20"/>
      <c r="N18" s="20"/>
    </row>
    <row r="19" spans="1:14" x14ac:dyDescent="0.3">
      <c r="A19" s="11"/>
      <c r="B19" s="374" t="s">
        <v>484</v>
      </c>
      <c r="C19" s="374"/>
      <c r="D19" s="374"/>
      <c r="E19" s="374"/>
      <c r="F19" s="374"/>
      <c r="G19" s="374"/>
      <c r="H19" s="375"/>
      <c r="I19" s="20"/>
      <c r="J19" s="20"/>
      <c r="K19" s="20"/>
      <c r="L19" s="20"/>
      <c r="M19" s="20"/>
      <c r="N19" s="20"/>
    </row>
    <row r="20" spans="1:14" x14ac:dyDescent="0.3">
      <c r="A20" s="11"/>
      <c r="B20" s="374"/>
      <c r="C20" s="374"/>
      <c r="D20" s="374"/>
      <c r="E20" s="374"/>
      <c r="F20" s="374"/>
      <c r="G20" s="374"/>
      <c r="H20" s="375"/>
      <c r="I20" s="20"/>
      <c r="J20" s="20"/>
      <c r="K20" s="20"/>
      <c r="L20" s="20"/>
      <c r="M20" s="20"/>
      <c r="N20" s="20"/>
    </row>
    <row r="21" spans="1:14" x14ac:dyDescent="0.3">
      <c r="A21" s="11">
        <v>0.25</v>
      </c>
      <c r="B21" s="374" t="s">
        <v>1</v>
      </c>
      <c r="C21" s="374"/>
      <c r="D21" s="374"/>
      <c r="E21" s="374"/>
      <c r="F21" s="374"/>
      <c r="G21" s="374"/>
      <c r="H21" s="375"/>
      <c r="I21" s="20"/>
      <c r="J21" s="20"/>
      <c r="K21" s="20"/>
      <c r="L21" s="20"/>
      <c r="M21" s="20"/>
      <c r="N21" s="20"/>
    </row>
    <row r="22" spans="1:14" x14ac:dyDescent="0.3">
      <c r="A22" s="11"/>
      <c r="B22" s="374" t="s">
        <v>485</v>
      </c>
      <c r="C22" s="374"/>
      <c r="D22" s="374"/>
      <c r="E22" s="374"/>
      <c r="F22" s="374"/>
      <c r="G22" s="374"/>
      <c r="H22" s="375"/>
      <c r="I22" s="20"/>
      <c r="J22" s="20"/>
      <c r="K22" s="20"/>
      <c r="L22" s="20"/>
      <c r="M22" s="20"/>
      <c r="N22" s="20"/>
    </row>
    <row r="23" spans="1:14" x14ac:dyDescent="0.3">
      <c r="A23" s="11"/>
      <c r="B23" s="419" t="s">
        <v>158</v>
      </c>
      <c r="C23" s="374"/>
      <c r="D23" s="374"/>
      <c r="E23" s="374"/>
      <c r="F23" s="374"/>
      <c r="G23" s="374"/>
      <c r="H23" s="375"/>
      <c r="I23" s="20"/>
      <c r="J23" s="20"/>
      <c r="K23" s="20"/>
      <c r="L23" s="20"/>
      <c r="M23" s="20"/>
      <c r="N23" s="20"/>
    </row>
    <row r="24" spans="1:14" x14ac:dyDescent="0.3">
      <c r="A24" s="11">
        <v>0.25</v>
      </c>
      <c r="B24" s="374" t="s">
        <v>2</v>
      </c>
      <c r="C24" s="374"/>
      <c r="D24" s="374"/>
      <c r="E24" s="374"/>
      <c r="F24" s="374"/>
      <c r="G24" s="374"/>
      <c r="H24" s="375"/>
      <c r="I24" s="20"/>
      <c r="J24" s="20"/>
      <c r="K24" s="20"/>
      <c r="L24" s="20"/>
      <c r="M24" s="20"/>
      <c r="N24" s="20"/>
    </row>
    <row r="25" spans="1:14" x14ac:dyDescent="0.3">
      <c r="A25" s="420"/>
      <c r="B25" s="419" t="s">
        <v>486</v>
      </c>
      <c r="C25" s="374"/>
      <c r="D25" s="374"/>
      <c r="E25" s="374"/>
      <c r="F25" s="374"/>
      <c r="G25" s="374"/>
      <c r="H25" s="375"/>
      <c r="I25" s="20"/>
      <c r="J25" s="20"/>
      <c r="K25" s="20"/>
      <c r="L25" s="20"/>
      <c r="M25" s="20"/>
      <c r="N25" s="20"/>
    </row>
    <row r="26" spans="1:14" ht="15" thickBot="1" x14ac:dyDescent="0.35">
      <c r="A26" s="421"/>
      <c r="B26" s="422"/>
      <c r="C26" s="423"/>
      <c r="D26" s="423"/>
      <c r="E26" s="423"/>
      <c r="F26" s="423"/>
      <c r="G26" s="423"/>
      <c r="H26" s="424"/>
      <c r="I26" s="20"/>
      <c r="J26" s="20"/>
      <c r="K26" s="20"/>
      <c r="L26" s="20"/>
      <c r="M26" s="20"/>
      <c r="N26" s="20"/>
    </row>
    <row r="27" spans="1:14" x14ac:dyDescent="0.3">
      <c r="A27" s="20"/>
      <c r="B27" s="20"/>
      <c r="C27" s="20"/>
      <c r="D27" s="20"/>
      <c r="E27" s="20"/>
      <c r="F27" s="20"/>
      <c r="G27" s="20"/>
      <c r="H27" s="20"/>
      <c r="I27" s="20"/>
      <c r="J27" s="20"/>
      <c r="K27" s="20"/>
      <c r="L27" s="20"/>
      <c r="M27" s="20"/>
      <c r="N27" s="20"/>
    </row>
    <row r="28" spans="1:14" x14ac:dyDescent="0.3">
      <c r="A28" s="20" t="s">
        <v>0</v>
      </c>
      <c r="B28" s="20"/>
      <c r="C28" s="20"/>
      <c r="D28" s="20"/>
      <c r="E28" s="20"/>
      <c r="F28" s="20"/>
      <c r="G28" s="20"/>
      <c r="H28" s="20"/>
      <c r="I28" s="20"/>
      <c r="J28" s="20"/>
      <c r="K28" s="20"/>
      <c r="L28" s="20"/>
      <c r="M28" s="20"/>
      <c r="N28" s="20"/>
    </row>
    <row r="29" spans="1:14" ht="55.8" x14ac:dyDescent="0.3">
      <c r="A29" s="20"/>
      <c r="B29" s="425" t="s">
        <v>474</v>
      </c>
      <c r="C29" s="425" t="s">
        <v>487</v>
      </c>
      <c r="D29" s="425" t="s">
        <v>488</v>
      </c>
      <c r="E29" s="425" t="s">
        <v>489</v>
      </c>
      <c r="F29" s="425" t="s">
        <v>490</v>
      </c>
      <c r="G29" s="425" t="s">
        <v>491</v>
      </c>
      <c r="H29" s="425" t="s">
        <v>492</v>
      </c>
      <c r="I29" s="425" t="s">
        <v>493</v>
      </c>
      <c r="J29" s="425" t="s">
        <v>494</v>
      </c>
      <c r="K29" s="425" t="s">
        <v>495</v>
      </c>
      <c r="L29" s="425" t="s">
        <v>496</v>
      </c>
      <c r="M29" s="426" t="s">
        <v>497</v>
      </c>
    </row>
    <row r="30" spans="1:14" x14ac:dyDescent="0.3">
      <c r="A30" s="20"/>
      <c r="B30" s="304" t="s">
        <v>445</v>
      </c>
      <c r="C30" s="427">
        <f t="shared" ref="C30:F32" si="0">C8</f>
        <v>15271</v>
      </c>
      <c r="D30" s="427">
        <f t="shared" si="0"/>
        <v>864000</v>
      </c>
      <c r="E30" s="427">
        <f t="shared" si="0"/>
        <v>924</v>
      </c>
      <c r="F30" s="428">
        <f t="shared" si="0"/>
        <v>1</v>
      </c>
      <c r="G30" s="429">
        <f>D30/C30</f>
        <v>56.577827254272805</v>
      </c>
      <c r="H30" s="428">
        <f>G30/$G$33</f>
        <v>0.8900842095361633</v>
      </c>
      <c r="I30" s="428">
        <f>F30/$F$33</f>
        <v>0.783179633964875</v>
      </c>
      <c r="J30" s="430">
        <f>MIN(SQRT(C30/$B$12), 1)</f>
        <v>0.92108028362835392</v>
      </c>
      <c r="K30" s="428">
        <f>(J30*H30)+((1-J30)*I30)</f>
        <v>0.88164733075324608</v>
      </c>
      <c r="L30" s="428">
        <f>K30/$K$30</f>
        <v>1</v>
      </c>
      <c r="M30" s="431">
        <f>L30*L$35/F30-1</f>
        <v>0.14062333251896519</v>
      </c>
    </row>
    <row r="31" spans="1:14" x14ac:dyDescent="0.3">
      <c r="A31" s="20"/>
      <c r="B31" s="304" t="s">
        <v>446</v>
      </c>
      <c r="C31" s="427">
        <f t="shared" si="0"/>
        <v>7250</v>
      </c>
      <c r="D31" s="427">
        <f t="shared" si="0"/>
        <v>732000</v>
      </c>
      <c r="E31" s="427">
        <f t="shared" si="0"/>
        <v>623</v>
      </c>
      <c r="F31" s="428">
        <f t="shared" si="0"/>
        <v>1.1000000000000001</v>
      </c>
      <c r="G31" s="429">
        <f>D31/C31</f>
        <v>100.96551724137932</v>
      </c>
      <c r="H31" s="428">
        <f t="shared" ref="H31:H33" si="1">G31/$G$33</f>
        <v>1.5883927850448885</v>
      </c>
      <c r="I31" s="428">
        <f>F31/$F$33</f>
        <v>0.86149759736136255</v>
      </c>
      <c r="J31" s="430">
        <f>MIN(SQRT(C31/$B$12), 1)</f>
        <v>0.63464775882199231</v>
      </c>
      <c r="K31" s="428">
        <f t="shared" ref="K31:K32" si="2">(J31*H31)+((1-J31)*I31)</f>
        <v>1.3228199991232037</v>
      </c>
      <c r="L31" s="428">
        <f t="shared" ref="L31:L32" si="3">K31/$K$30</f>
        <v>1.5003958532864115</v>
      </c>
      <c r="M31" s="431">
        <f t="shared" ref="M31:M33" si="4">L31*L$35/F31-1</f>
        <v>0.55580592570289356</v>
      </c>
    </row>
    <row r="32" spans="1:14" x14ac:dyDescent="0.3">
      <c r="A32" s="20"/>
      <c r="B32" s="432" t="s">
        <v>479</v>
      </c>
      <c r="C32" s="433">
        <f t="shared" si="0"/>
        <v>10532</v>
      </c>
      <c r="D32" s="433">
        <f t="shared" si="0"/>
        <v>505000</v>
      </c>
      <c r="E32" s="433">
        <f t="shared" si="0"/>
        <v>185</v>
      </c>
      <c r="F32" s="434">
        <f t="shared" si="0"/>
        <v>1.8</v>
      </c>
      <c r="G32" s="435">
        <f>D32/C32</f>
        <v>47.949107481959743</v>
      </c>
      <c r="H32" s="434">
        <f t="shared" si="1"/>
        <v>0.75433691080495735</v>
      </c>
      <c r="I32" s="434">
        <f>F32/$F$33</f>
        <v>1.4097233411367749</v>
      </c>
      <c r="J32" s="436">
        <f>MIN(SQRT(C32/$B$12), 1)</f>
        <v>0.7649255591958678</v>
      </c>
      <c r="K32" s="434">
        <f t="shared" si="2"/>
        <v>0.90840150942582576</v>
      </c>
      <c r="L32" s="434">
        <f t="shared" si="3"/>
        <v>1.0303456696791924</v>
      </c>
      <c r="M32" s="431">
        <f t="shared" si="4"/>
        <v>-0.34709093811335257</v>
      </c>
    </row>
    <row r="33" spans="1:13" x14ac:dyDescent="0.3">
      <c r="A33" s="20"/>
      <c r="B33" s="20"/>
      <c r="C33" s="302">
        <f>SUM(C30:C32)</f>
        <v>33053</v>
      </c>
      <c r="D33" s="302">
        <f t="shared" ref="D33:E33" si="5">SUM(D30:D32)</f>
        <v>2101000</v>
      </c>
      <c r="E33" s="302">
        <f t="shared" si="5"/>
        <v>1732</v>
      </c>
      <c r="F33" s="297">
        <f>SUMPRODUCT(C30:C32,F30:F32)/C33</f>
        <v>1.2768462771911779</v>
      </c>
      <c r="G33" s="313">
        <f>D33/C33</f>
        <v>63.564578101836446</v>
      </c>
      <c r="H33" s="297">
        <f t="shared" si="1"/>
        <v>1</v>
      </c>
      <c r="I33" s="428">
        <f>F33/$F$33</f>
        <v>1</v>
      </c>
      <c r="J33" s="430">
        <f>MIN(SQRT(C33/$B$12), 1)</f>
        <v>1</v>
      </c>
      <c r="K33" s="304"/>
      <c r="L33" s="428">
        <f>SUMPRODUCT(L30:L32,C30:C32)/C33</f>
        <v>1.1194285096477699</v>
      </c>
      <c r="M33" s="431">
        <f t="shared" si="4"/>
        <v>0</v>
      </c>
    </row>
    <row r="34" spans="1:13" x14ac:dyDescent="0.3">
      <c r="A34" s="20"/>
      <c r="B34" s="20"/>
      <c r="C34" s="20"/>
      <c r="D34" s="20"/>
      <c r="E34" s="20"/>
      <c r="F34" s="20"/>
      <c r="G34" s="20"/>
      <c r="H34" s="20"/>
      <c r="I34" s="20"/>
      <c r="J34" s="20"/>
      <c r="K34" s="20"/>
      <c r="L34" s="20"/>
      <c r="M34" s="20"/>
    </row>
    <row r="35" spans="1:13" x14ac:dyDescent="0.3">
      <c r="A35" s="20"/>
      <c r="B35" s="20"/>
      <c r="C35" s="20"/>
      <c r="D35" s="20"/>
      <c r="E35" s="20"/>
      <c r="F35" s="20"/>
      <c r="G35" s="20"/>
      <c r="H35" s="20"/>
      <c r="I35" s="20"/>
      <c r="J35" s="20"/>
      <c r="K35" s="304" t="s">
        <v>498</v>
      </c>
      <c r="L35" s="304">
        <f>F33/L33</f>
        <v>1.1406233325189652</v>
      </c>
      <c r="M35" s="20"/>
    </row>
    <row r="38" spans="1:13" x14ac:dyDescent="0.3">
      <c r="A38" s="20" t="s">
        <v>446</v>
      </c>
    </row>
    <row r="39" spans="1:13" x14ac:dyDescent="0.3">
      <c r="A39" s="20"/>
      <c r="B39" s="20" t="s">
        <v>499</v>
      </c>
    </row>
    <row r="42" spans="1:13" x14ac:dyDescent="0.3">
      <c r="A42" t="s">
        <v>479</v>
      </c>
    </row>
    <row r="43" spans="1:13" x14ac:dyDescent="0.3">
      <c r="B43" s="20" t="s">
        <v>500</v>
      </c>
    </row>
  </sheetData>
  <conditionalFormatting sqref="B1">
    <cfRule type="cellIs" dxfId="128" priority="1" operator="equal">
      <formula>"Review Later"</formula>
    </cfRule>
    <cfRule type="cellIs" dxfId="127" priority="2" operator="equal">
      <formula>"Finished"</formula>
    </cfRule>
    <cfRule type="cellIs" dxfId="126" priority="3" operator="equal">
      <formula>"Incomplete"</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56"/>
  <sheetViews>
    <sheetView zoomScaleNormal="100" workbookViewId="0"/>
  </sheetViews>
  <sheetFormatPr defaultRowHeight="14.4" x14ac:dyDescent="0.3"/>
  <cols>
    <col min="3" max="3" width="57.6640625" bestFit="1" customWidth="1"/>
    <col min="4" max="4" width="15.44140625" bestFit="1" customWidth="1"/>
    <col min="5" max="5" width="11.33203125" bestFit="1" customWidth="1"/>
  </cols>
  <sheetData>
    <row r="1" spans="1:8" ht="15" thickBot="1" x14ac:dyDescent="0.35">
      <c r="A1" s="3">
        <v>12</v>
      </c>
      <c r="B1" s="4"/>
      <c r="C1" s="246"/>
      <c r="D1" s="246"/>
      <c r="E1" s="246"/>
      <c r="F1" s="246"/>
      <c r="G1" s="246"/>
      <c r="H1" s="247"/>
    </row>
    <row r="2" spans="1:8" x14ac:dyDescent="0.3">
      <c r="A2" s="8" t="s">
        <v>4</v>
      </c>
      <c r="B2" s="374"/>
      <c r="C2" s="374"/>
      <c r="D2" s="374"/>
      <c r="E2" s="374"/>
      <c r="F2" s="374"/>
      <c r="G2" s="374"/>
      <c r="H2" s="375"/>
    </row>
    <row r="3" spans="1:8" x14ac:dyDescent="0.3">
      <c r="A3" s="11">
        <v>2.5</v>
      </c>
      <c r="B3" s="9"/>
      <c r="C3" s="374"/>
      <c r="D3" s="374"/>
      <c r="E3" s="374"/>
      <c r="F3" s="374"/>
      <c r="G3" s="374"/>
      <c r="H3" s="375"/>
    </row>
    <row r="4" spans="1:8" x14ac:dyDescent="0.3">
      <c r="A4" s="11"/>
      <c r="B4" s="376" t="s">
        <v>469</v>
      </c>
      <c r="C4" s="376"/>
      <c r="D4" s="376"/>
      <c r="E4" s="376"/>
      <c r="F4" s="376"/>
      <c r="G4" s="376"/>
      <c r="H4" s="377"/>
    </row>
    <row r="5" spans="1:8" ht="15" thickBot="1" x14ac:dyDescent="0.35">
      <c r="A5" s="11"/>
      <c r="B5" s="400"/>
      <c r="C5" s="400"/>
      <c r="D5" s="400"/>
      <c r="E5" s="400"/>
      <c r="F5" s="400"/>
      <c r="G5" s="376"/>
      <c r="H5" s="377"/>
    </row>
    <row r="6" spans="1:8" x14ac:dyDescent="0.3">
      <c r="A6" s="11"/>
      <c r="B6" s="378"/>
      <c r="C6" s="401" t="s">
        <v>470</v>
      </c>
      <c r="D6" s="401" t="s">
        <v>471</v>
      </c>
      <c r="E6" s="401" t="s">
        <v>472</v>
      </c>
      <c r="F6" s="401" t="s">
        <v>473</v>
      </c>
      <c r="G6" s="379" t="s">
        <v>414</v>
      </c>
      <c r="H6" s="377"/>
    </row>
    <row r="7" spans="1:8" ht="15" thickBot="1" x14ac:dyDescent="0.35">
      <c r="A7" s="11"/>
      <c r="B7" s="382" t="s">
        <v>474</v>
      </c>
      <c r="C7" s="402" t="s">
        <v>475</v>
      </c>
      <c r="D7" s="402" t="s">
        <v>476</v>
      </c>
      <c r="E7" s="402" t="s">
        <v>477</v>
      </c>
      <c r="F7" s="402" t="s">
        <v>478</v>
      </c>
      <c r="G7" s="383" t="s">
        <v>478</v>
      </c>
      <c r="H7" s="377"/>
    </row>
    <row r="8" spans="1:8" x14ac:dyDescent="0.3">
      <c r="A8" s="11"/>
      <c r="B8" s="384" t="s">
        <v>445</v>
      </c>
      <c r="C8" s="403">
        <v>15271</v>
      </c>
      <c r="D8" s="404">
        <v>864000</v>
      </c>
      <c r="E8" s="393">
        <v>924</v>
      </c>
      <c r="F8" s="405">
        <v>1</v>
      </c>
      <c r="G8" s="406">
        <v>1</v>
      </c>
      <c r="H8" s="377"/>
    </row>
    <row r="9" spans="1:8" x14ac:dyDescent="0.3">
      <c r="A9" s="11"/>
      <c r="B9" s="384" t="s">
        <v>446</v>
      </c>
      <c r="C9" s="403">
        <v>7250</v>
      </c>
      <c r="D9" s="404">
        <v>732000</v>
      </c>
      <c r="E9" s="393">
        <v>623</v>
      </c>
      <c r="F9" s="405">
        <v>1.1000000000000001</v>
      </c>
      <c r="G9" s="406">
        <v>1.7254552312793729</v>
      </c>
      <c r="H9" s="377"/>
    </row>
    <row r="10" spans="1:8" ht="15" thickBot="1" x14ac:dyDescent="0.35">
      <c r="A10" s="11"/>
      <c r="B10" s="388" t="s">
        <v>479</v>
      </c>
      <c r="C10" s="407">
        <v>10532</v>
      </c>
      <c r="D10" s="408">
        <v>505000</v>
      </c>
      <c r="E10" s="409">
        <v>185</v>
      </c>
      <c r="F10" s="410">
        <v>1.8</v>
      </c>
      <c r="G10" s="411">
        <v>0.72124196877543467</v>
      </c>
      <c r="H10" s="377"/>
    </row>
    <row r="11" spans="1:8" ht="15" thickBot="1" x14ac:dyDescent="0.35">
      <c r="A11" s="11"/>
      <c r="B11" s="393"/>
      <c r="C11" s="393"/>
      <c r="D11" s="393"/>
      <c r="E11" s="393"/>
      <c r="F11" s="393"/>
      <c r="G11" s="376"/>
      <c r="H11" s="377"/>
    </row>
    <row r="12" spans="1:8" ht="15" thickBot="1" x14ac:dyDescent="0.35">
      <c r="A12" s="11"/>
      <c r="B12" s="412">
        <v>18000</v>
      </c>
      <c r="C12" s="413" t="s">
        <v>480</v>
      </c>
      <c r="D12" s="414"/>
      <c r="E12" s="415"/>
      <c r="F12" s="416"/>
      <c r="G12" s="417"/>
      <c r="H12" s="377"/>
    </row>
    <row r="13" spans="1:8" x14ac:dyDescent="0.3">
      <c r="A13" s="11"/>
      <c r="B13" s="374"/>
      <c r="C13" s="418"/>
      <c r="D13" s="418"/>
      <c r="E13" s="393"/>
      <c r="F13" s="374"/>
      <c r="G13" s="376"/>
      <c r="H13" s="377"/>
    </row>
    <row r="14" spans="1:8" x14ac:dyDescent="0.3">
      <c r="A14" s="11"/>
      <c r="B14" s="374" t="s">
        <v>481</v>
      </c>
      <c r="C14" s="418"/>
      <c r="D14" s="418"/>
      <c r="E14" s="393"/>
      <c r="F14" s="374"/>
      <c r="G14" s="376"/>
      <c r="H14" s="377"/>
    </row>
    <row r="15" spans="1:8" x14ac:dyDescent="0.3">
      <c r="A15" s="11"/>
      <c r="B15" s="374" t="s">
        <v>482</v>
      </c>
      <c r="C15" s="418"/>
      <c r="D15" s="418"/>
      <c r="E15" s="374"/>
      <c r="F15" s="374"/>
      <c r="G15" s="376"/>
      <c r="H15" s="377"/>
    </row>
    <row r="16" spans="1:8" x14ac:dyDescent="0.3">
      <c r="A16" s="11"/>
      <c r="B16" s="374" t="s">
        <v>483</v>
      </c>
      <c r="C16" s="418"/>
      <c r="D16" s="418"/>
      <c r="E16" s="374"/>
      <c r="F16" s="374"/>
      <c r="G16" s="376"/>
      <c r="H16" s="377"/>
    </row>
    <row r="17" spans="1:10" x14ac:dyDescent="0.3">
      <c r="A17" s="11"/>
      <c r="B17" s="374"/>
      <c r="C17" s="374"/>
      <c r="D17" s="374"/>
      <c r="E17" s="374"/>
      <c r="F17" s="374"/>
      <c r="G17" s="374"/>
      <c r="H17" s="375"/>
    </row>
    <row r="18" spans="1:10" x14ac:dyDescent="0.3">
      <c r="A18" s="11">
        <v>2</v>
      </c>
      <c r="B18" s="374" t="s">
        <v>10</v>
      </c>
      <c r="C18" s="374"/>
      <c r="D18" s="374"/>
      <c r="E18" s="374"/>
      <c r="F18" s="374"/>
      <c r="G18" s="374"/>
      <c r="H18" s="375"/>
    </row>
    <row r="19" spans="1:10" x14ac:dyDescent="0.3">
      <c r="A19" s="11"/>
      <c r="B19" s="374" t="s">
        <v>484</v>
      </c>
      <c r="C19" s="374"/>
      <c r="D19" s="374"/>
      <c r="E19" s="374"/>
      <c r="F19" s="374"/>
      <c r="G19" s="374"/>
      <c r="H19" s="375"/>
    </row>
    <row r="20" spans="1:10" x14ac:dyDescent="0.3">
      <c r="A20" s="11"/>
      <c r="B20" s="374"/>
      <c r="C20" s="374"/>
      <c r="D20" s="374"/>
      <c r="E20" s="374"/>
      <c r="F20" s="374"/>
      <c r="G20" s="374"/>
      <c r="H20" s="375"/>
    </row>
    <row r="21" spans="1:10" x14ac:dyDescent="0.3">
      <c r="A21" s="11">
        <v>0.25</v>
      </c>
      <c r="B21" s="374" t="s">
        <v>1</v>
      </c>
      <c r="C21" s="374"/>
      <c r="D21" s="374"/>
      <c r="E21" s="374"/>
      <c r="F21" s="374"/>
      <c r="G21" s="374"/>
      <c r="H21" s="375"/>
    </row>
    <row r="22" spans="1:10" x14ac:dyDescent="0.3">
      <c r="A22" s="11"/>
      <c r="B22" s="374" t="s">
        <v>485</v>
      </c>
      <c r="C22" s="374"/>
      <c r="D22" s="374"/>
      <c r="E22" s="374"/>
      <c r="F22" s="374"/>
      <c r="G22" s="374"/>
      <c r="H22" s="375"/>
    </row>
    <row r="23" spans="1:10" x14ac:dyDescent="0.3">
      <c r="A23" s="11"/>
      <c r="B23" s="419" t="s">
        <v>158</v>
      </c>
      <c r="C23" s="374"/>
      <c r="D23" s="374"/>
      <c r="E23" s="374"/>
      <c r="F23" s="374"/>
      <c r="G23" s="374"/>
      <c r="H23" s="375"/>
    </row>
    <row r="24" spans="1:10" x14ac:dyDescent="0.3">
      <c r="A24" s="11">
        <v>0.25</v>
      </c>
      <c r="B24" s="374" t="s">
        <v>2</v>
      </c>
      <c r="C24" s="374"/>
      <c r="D24" s="374"/>
      <c r="E24" s="374"/>
      <c r="F24" s="374"/>
      <c r="G24" s="374"/>
      <c r="H24" s="375"/>
    </row>
    <row r="25" spans="1:10" x14ac:dyDescent="0.3">
      <c r="A25" s="420"/>
      <c r="B25" s="419" t="s">
        <v>486</v>
      </c>
      <c r="C25" s="374"/>
      <c r="D25" s="374"/>
      <c r="E25" s="374"/>
      <c r="F25" s="374"/>
      <c r="G25" s="374"/>
      <c r="H25" s="375"/>
    </row>
    <row r="26" spans="1:10" ht="15" thickBot="1" x14ac:dyDescent="0.35">
      <c r="A26" s="421"/>
      <c r="B26" s="422"/>
      <c r="C26" s="423"/>
      <c r="D26" s="423"/>
      <c r="E26" s="423"/>
      <c r="F26" s="423"/>
      <c r="G26" s="423"/>
      <c r="H26" s="424"/>
    </row>
    <row r="27" spans="1:10" x14ac:dyDescent="0.3">
      <c r="A27" s="20"/>
      <c r="B27" s="20"/>
      <c r="C27" s="20"/>
      <c r="D27" s="20" t="s">
        <v>501</v>
      </c>
      <c r="E27" s="20"/>
      <c r="F27" s="20" t="s">
        <v>502</v>
      </c>
      <c r="G27" s="20" t="s">
        <v>503</v>
      </c>
      <c r="H27" s="20"/>
      <c r="I27" s="20" t="s">
        <v>504</v>
      </c>
      <c r="J27" s="20"/>
    </row>
    <row r="28" spans="1:10" x14ac:dyDescent="0.3">
      <c r="A28" s="20" t="s">
        <v>0</v>
      </c>
      <c r="B28" s="20" t="s">
        <v>474</v>
      </c>
      <c r="C28" s="20" t="s">
        <v>505</v>
      </c>
      <c r="D28" s="20" t="s">
        <v>506</v>
      </c>
      <c r="E28" s="20" t="s">
        <v>494</v>
      </c>
      <c r="F28" s="20" t="s">
        <v>507</v>
      </c>
      <c r="G28" s="20" t="s">
        <v>478</v>
      </c>
      <c r="H28" s="20" t="s">
        <v>508</v>
      </c>
      <c r="I28" s="20" t="s">
        <v>509</v>
      </c>
      <c r="J28" s="20"/>
    </row>
    <row r="29" spans="1:10" x14ac:dyDescent="0.3">
      <c r="A29" s="20"/>
      <c r="B29" s="20" t="s">
        <v>445</v>
      </c>
      <c r="C29" s="315">
        <f>D8/C8</f>
        <v>56.577827254272805</v>
      </c>
      <c r="D29" s="315">
        <f>C29/$C$32</f>
        <v>0.8900842095361633</v>
      </c>
      <c r="E29" s="20">
        <f>MIN(1, SQRT(C8/18000))</f>
        <v>0.92108028362835392</v>
      </c>
      <c r="F29" s="20">
        <f>F8/$C$36</f>
        <v>0.783179633964875</v>
      </c>
      <c r="G29" s="20">
        <f>D29*E29+(1-E29)*F29</f>
        <v>0.88164733075324608</v>
      </c>
      <c r="H29" s="437">
        <f>G29/$G$29</f>
        <v>1</v>
      </c>
      <c r="I29" s="20">
        <f>H29/F8*$F$36-1</f>
        <v>0.14062333251896519</v>
      </c>
      <c r="J29" s="20"/>
    </row>
    <row r="30" spans="1:10" x14ac:dyDescent="0.3">
      <c r="A30" s="20"/>
      <c r="B30" s="20" t="s">
        <v>446</v>
      </c>
      <c r="C30" s="315">
        <f t="shared" ref="C30:C31" si="0">D9/C9</f>
        <v>100.96551724137932</v>
      </c>
      <c r="D30" s="315">
        <f t="shared" ref="D30:D31" si="1">C30/$C$32</f>
        <v>1.5883927850448885</v>
      </c>
      <c r="E30" s="20">
        <f t="shared" ref="E30:E31" si="2">MIN(1, SQRT(C9/18000))</f>
        <v>0.63464775882199231</v>
      </c>
      <c r="F30" s="20">
        <f t="shared" ref="F30:F31" si="3">F9/$C$36</f>
        <v>0.86149759736136255</v>
      </c>
      <c r="G30" s="20">
        <f t="shared" ref="G30:G31" si="4">D30*E30+(1-E30)*F30</f>
        <v>1.3228199991232037</v>
      </c>
      <c r="H30" s="437">
        <f t="shared" ref="H30:H31" si="5">G30/$G$29</f>
        <v>1.5003958532864115</v>
      </c>
      <c r="I30" s="20">
        <f t="shared" ref="I30:I31" si="6">H30/F9*$F$36-1</f>
        <v>0.55580592570289333</v>
      </c>
      <c r="J30" s="20"/>
    </row>
    <row r="31" spans="1:10" x14ac:dyDescent="0.3">
      <c r="A31" s="20"/>
      <c r="B31" s="20" t="s">
        <v>479</v>
      </c>
      <c r="C31" s="315">
        <f t="shared" si="0"/>
        <v>47.949107481959743</v>
      </c>
      <c r="D31" s="315">
        <f t="shared" si="1"/>
        <v>0.75433691080495735</v>
      </c>
      <c r="E31" s="20">
        <f t="shared" si="2"/>
        <v>0.7649255591958678</v>
      </c>
      <c r="F31" s="20">
        <f t="shared" si="3"/>
        <v>1.4097233411367749</v>
      </c>
      <c r="G31" s="20">
        <f t="shared" si="4"/>
        <v>0.90840150942582576</v>
      </c>
      <c r="H31" s="437">
        <f t="shared" si="5"/>
        <v>1.0303456696791924</v>
      </c>
      <c r="I31" s="20">
        <f t="shared" si="6"/>
        <v>-0.34709093811335268</v>
      </c>
      <c r="J31" s="20"/>
    </row>
    <row r="32" spans="1:10" x14ac:dyDescent="0.3">
      <c r="A32" s="20"/>
      <c r="B32" s="20"/>
      <c r="C32" s="315">
        <f>SUM(D8:D10)/SUM(C8:C10)</f>
        <v>63.564578101836446</v>
      </c>
      <c r="D32" s="315"/>
      <c r="E32" s="20"/>
      <c r="F32" s="20"/>
      <c r="G32" s="20"/>
      <c r="H32" s="20"/>
      <c r="I32" s="20"/>
      <c r="J32" s="20"/>
    </row>
    <row r="33" spans="1:10" x14ac:dyDescent="0.3">
      <c r="A33" s="20"/>
      <c r="B33" s="20"/>
      <c r="C33" s="20"/>
      <c r="D33" s="20"/>
      <c r="E33" s="20"/>
      <c r="F33" s="20"/>
      <c r="G33" s="20"/>
      <c r="H33" s="20"/>
      <c r="I33" s="20"/>
      <c r="J33" s="20"/>
    </row>
    <row r="34" spans="1:10" x14ac:dyDescent="0.3">
      <c r="A34" s="20"/>
      <c r="B34" s="20"/>
      <c r="C34" s="20"/>
      <c r="D34" s="20"/>
      <c r="E34" s="20"/>
      <c r="F34" s="20"/>
      <c r="G34" s="20"/>
      <c r="H34" s="20"/>
      <c r="I34" s="20"/>
      <c r="J34" s="20"/>
    </row>
    <row r="35" spans="1:10" x14ac:dyDescent="0.3">
      <c r="A35" s="20"/>
      <c r="B35" s="20"/>
      <c r="C35" s="20" t="s">
        <v>510</v>
      </c>
      <c r="D35" s="20"/>
      <c r="E35" s="20"/>
      <c r="F35" s="20" t="s">
        <v>511</v>
      </c>
      <c r="G35" s="20"/>
      <c r="H35" s="20"/>
      <c r="I35" s="20"/>
      <c r="J35" s="20"/>
    </row>
    <row r="36" spans="1:10" x14ac:dyDescent="0.3">
      <c r="A36" s="20"/>
      <c r="B36" s="20"/>
      <c r="C36" s="20">
        <f>SUMPRODUCT(C8:C10,F8:F10)/SUM(C8:C10)</f>
        <v>1.2768462771911779</v>
      </c>
      <c r="D36" s="20"/>
      <c r="E36" s="20"/>
      <c r="F36" s="20">
        <f>C36/C39</f>
        <v>1.1406233325189652</v>
      </c>
      <c r="G36" s="20"/>
      <c r="H36" s="20"/>
      <c r="I36" s="20"/>
      <c r="J36" s="20"/>
    </row>
    <row r="37" spans="1:10" x14ac:dyDescent="0.3">
      <c r="A37" s="20"/>
      <c r="B37" s="20"/>
      <c r="C37" s="20"/>
      <c r="D37" s="20"/>
      <c r="E37" s="20"/>
      <c r="F37" s="20"/>
      <c r="G37" s="20"/>
      <c r="H37" s="20"/>
      <c r="I37" s="20"/>
      <c r="J37" s="20"/>
    </row>
    <row r="38" spans="1:10" x14ac:dyDescent="0.3">
      <c r="A38" s="20"/>
      <c r="B38" s="20"/>
      <c r="C38" s="20" t="s">
        <v>512</v>
      </c>
      <c r="D38" s="20"/>
      <c r="E38" s="20"/>
      <c r="F38" s="20"/>
      <c r="G38" s="20"/>
      <c r="H38" s="20"/>
      <c r="I38" s="20"/>
      <c r="J38" s="20"/>
    </row>
    <row r="39" spans="1:10" x14ac:dyDescent="0.3">
      <c r="A39" s="20"/>
      <c r="B39" s="20"/>
      <c r="C39" s="20">
        <f>SUMPRODUCT(H29:H31,C8:C10)/SUM(C8:C10)</f>
        <v>1.1194285096477699</v>
      </c>
      <c r="D39" s="20"/>
      <c r="E39" s="20"/>
      <c r="F39" s="20"/>
      <c r="G39" s="20"/>
      <c r="H39" s="20"/>
      <c r="I39" s="20"/>
      <c r="J39" s="20"/>
    </row>
    <row r="40" spans="1:10" x14ac:dyDescent="0.3">
      <c r="A40" s="20"/>
      <c r="B40" s="20"/>
      <c r="C40" s="20"/>
      <c r="D40" s="20"/>
      <c r="E40" s="20"/>
      <c r="F40" s="20"/>
      <c r="G40" s="20"/>
      <c r="H40" s="20"/>
      <c r="I40" s="20"/>
      <c r="J40" s="20"/>
    </row>
    <row r="41" spans="1:10" x14ac:dyDescent="0.3">
      <c r="A41" s="20"/>
      <c r="B41" s="20"/>
      <c r="C41" s="20"/>
      <c r="D41" s="20"/>
      <c r="E41" s="20"/>
      <c r="F41" s="20"/>
      <c r="G41" s="20"/>
      <c r="H41" s="20"/>
      <c r="I41" s="20"/>
      <c r="J41" s="20"/>
    </row>
    <row r="42" spans="1:10" x14ac:dyDescent="0.3">
      <c r="A42" s="20"/>
      <c r="B42" s="20" t="s">
        <v>513</v>
      </c>
      <c r="C42" s="20" t="s">
        <v>514</v>
      </c>
      <c r="D42" s="20"/>
      <c r="E42" s="20"/>
      <c r="F42" s="20"/>
      <c r="G42" s="20"/>
      <c r="H42" s="20"/>
      <c r="I42" s="20"/>
      <c r="J42" s="20"/>
    </row>
    <row r="43" spans="1:10" x14ac:dyDescent="0.3">
      <c r="A43" s="20"/>
      <c r="B43" s="20" t="s">
        <v>445</v>
      </c>
      <c r="C43" s="308">
        <f>I29</f>
        <v>0.14062333251896519</v>
      </c>
      <c r="D43" s="20"/>
      <c r="E43" s="20"/>
      <c r="F43" s="20"/>
      <c r="G43" s="20"/>
      <c r="H43" s="20"/>
      <c r="I43" s="20"/>
      <c r="J43" s="20"/>
    </row>
    <row r="44" spans="1:10" x14ac:dyDescent="0.3">
      <c r="A44" s="20"/>
      <c r="B44" s="20" t="s">
        <v>446</v>
      </c>
      <c r="C44" s="308">
        <f t="shared" ref="C44:C45" si="7">I30</f>
        <v>0.55580592570289333</v>
      </c>
      <c r="D44" s="20"/>
      <c r="E44" s="20"/>
      <c r="F44" s="20"/>
      <c r="G44" s="20"/>
      <c r="H44" s="20"/>
      <c r="I44" s="20"/>
      <c r="J44" s="20"/>
    </row>
    <row r="45" spans="1:10" x14ac:dyDescent="0.3">
      <c r="A45" s="20"/>
      <c r="B45" s="20" t="s">
        <v>479</v>
      </c>
      <c r="C45" s="308">
        <f t="shared" si="7"/>
        <v>-0.34709093811335268</v>
      </c>
      <c r="D45" s="20"/>
      <c r="E45" s="20"/>
      <c r="F45" s="20"/>
      <c r="G45" s="20"/>
      <c r="H45" s="20"/>
      <c r="I45" s="20"/>
      <c r="J45" s="20"/>
    </row>
    <row r="46" spans="1:10" x14ac:dyDescent="0.3">
      <c r="A46" s="20"/>
      <c r="B46" s="20"/>
      <c r="C46" s="20"/>
      <c r="D46" s="20"/>
      <c r="E46" s="20"/>
      <c r="F46" s="20"/>
      <c r="G46" s="20"/>
      <c r="H46" s="20"/>
      <c r="I46" s="20"/>
      <c r="J46" s="20"/>
    </row>
    <row r="47" spans="1:10" x14ac:dyDescent="0.3">
      <c r="A47" s="20"/>
      <c r="B47" s="20"/>
      <c r="C47" s="20"/>
      <c r="D47" s="20"/>
      <c r="E47" s="20"/>
      <c r="F47" s="20"/>
      <c r="G47" s="20"/>
      <c r="H47" s="20"/>
      <c r="I47" s="20"/>
      <c r="J47" s="20"/>
    </row>
    <row r="50" spans="1:2" x14ac:dyDescent="0.3">
      <c r="A50" t="s">
        <v>1</v>
      </c>
      <c r="B50" s="20"/>
    </row>
    <row r="51" spans="1:2" x14ac:dyDescent="0.3">
      <c r="B51" s="20" t="s">
        <v>515</v>
      </c>
    </row>
    <row r="55" spans="1:2" x14ac:dyDescent="0.3">
      <c r="A55" t="s">
        <v>2</v>
      </c>
    </row>
    <row r="56" spans="1:2" x14ac:dyDescent="0.3">
      <c r="B56" s="20" t="s">
        <v>516</v>
      </c>
    </row>
  </sheetData>
  <conditionalFormatting sqref="B1">
    <cfRule type="cellIs" dxfId="125" priority="1" operator="equal">
      <formula>"Review Later"</formula>
    </cfRule>
    <cfRule type="cellIs" dxfId="124" priority="2" operator="equal">
      <formula>"Finished"</formula>
    </cfRule>
    <cfRule type="cellIs" dxfId="123" priority="3" operator="equal">
      <formula>"Incomplete"</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C231"/>
  <sheetViews>
    <sheetView zoomScaleNormal="100" workbookViewId="0"/>
  </sheetViews>
  <sheetFormatPr defaultColWidth="0" defaultRowHeight="0" customHeight="1" zeroHeight="1" x14ac:dyDescent="0.25"/>
  <cols>
    <col min="1" max="1" width="11.6640625" style="1" customWidth="1"/>
    <col min="2" max="5" width="20.44140625" style="1" customWidth="1"/>
    <col min="6" max="9" width="10.6640625" style="1" customWidth="1"/>
    <col min="10" max="10" width="10.6640625" style="21" customWidth="1"/>
    <col min="11" max="52" width="10.6640625" style="1" customWidth="1"/>
    <col min="53" max="55" width="0" style="1" hidden="1" customWidth="1"/>
    <col min="56" max="16384" width="10.6640625" style="1" hidden="1"/>
  </cols>
  <sheetData>
    <row r="1" spans="1:52" ht="14.4" customHeight="1" thickBot="1" x14ac:dyDescent="0.3">
      <c r="A1" s="3">
        <v>13</v>
      </c>
      <c r="B1" s="4"/>
      <c r="C1" s="5"/>
      <c r="D1" s="5"/>
      <c r="E1" s="5"/>
      <c r="F1" s="5"/>
      <c r="G1" s="5"/>
      <c r="H1" s="5"/>
      <c r="I1" s="5"/>
      <c r="J1" s="5"/>
      <c r="K1" s="6"/>
      <c r="L1" s="7"/>
      <c r="M1" s="7"/>
      <c r="N1" s="7"/>
      <c r="O1" s="7"/>
      <c r="P1" s="7"/>
      <c r="Q1" s="7"/>
      <c r="R1" s="7"/>
      <c r="S1" s="7"/>
      <c r="T1" s="7"/>
      <c r="U1" s="7"/>
      <c r="V1" s="7"/>
      <c r="W1" s="7"/>
    </row>
    <row r="2" spans="1:52" ht="14.4" customHeight="1" x14ac:dyDescent="0.25">
      <c r="A2" s="8" t="s">
        <v>4</v>
      </c>
      <c r="B2" s="9"/>
      <c r="C2" s="9"/>
      <c r="D2" s="9"/>
      <c r="E2" s="9"/>
      <c r="F2" s="9"/>
      <c r="G2" s="9"/>
      <c r="H2" s="9"/>
      <c r="I2" s="9"/>
      <c r="J2" s="9"/>
      <c r="K2" s="10"/>
      <c r="L2" s="7"/>
      <c r="M2" s="7"/>
      <c r="N2" s="7"/>
      <c r="O2" s="7"/>
      <c r="P2" s="7"/>
      <c r="Q2" s="7"/>
      <c r="R2" s="7"/>
      <c r="S2" s="7"/>
      <c r="T2" s="7"/>
      <c r="U2" s="7"/>
      <c r="V2" s="7"/>
      <c r="W2" s="7"/>
    </row>
    <row r="3" spans="1:52" ht="14.4" customHeight="1" x14ac:dyDescent="0.25">
      <c r="A3" s="11">
        <v>2</v>
      </c>
      <c r="B3" s="9"/>
      <c r="C3" s="9"/>
      <c r="D3" s="9"/>
      <c r="E3" s="9"/>
      <c r="F3" s="9"/>
      <c r="G3" s="9"/>
      <c r="H3" s="9"/>
      <c r="I3" s="9"/>
      <c r="J3" s="9"/>
      <c r="K3" s="10"/>
      <c r="L3" s="7"/>
      <c r="M3" s="7"/>
      <c r="N3" s="7"/>
      <c r="O3" s="7"/>
      <c r="P3" s="7"/>
      <c r="Q3" s="7"/>
      <c r="R3" s="7"/>
      <c r="S3" s="7"/>
      <c r="T3" s="7"/>
      <c r="U3" s="7"/>
      <c r="V3" s="7"/>
      <c r="W3" s="7"/>
    </row>
    <row r="4" spans="1:52" ht="14.4" customHeight="1" x14ac:dyDescent="0.25">
      <c r="A4" s="11"/>
      <c r="B4" s="15" t="s">
        <v>517</v>
      </c>
      <c r="C4" s="9"/>
      <c r="D4" s="9"/>
      <c r="E4" s="9"/>
      <c r="F4" s="9"/>
      <c r="G4" s="13"/>
      <c r="H4" s="13"/>
      <c r="I4" s="13"/>
      <c r="J4" s="13"/>
      <c r="K4" s="14"/>
      <c r="L4" s="7"/>
      <c r="M4" s="7"/>
      <c r="N4" s="7"/>
      <c r="O4" s="7"/>
      <c r="P4" s="7"/>
      <c r="Q4" s="7"/>
      <c r="R4" s="7"/>
      <c r="S4" s="7"/>
      <c r="T4" s="7"/>
      <c r="U4" s="7"/>
      <c r="V4" s="7"/>
      <c r="W4" s="7"/>
    </row>
    <row r="5" spans="1:52" ht="14.4" customHeight="1" x14ac:dyDescent="0.25">
      <c r="A5" s="438"/>
      <c r="B5" s="374" t="s">
        <v>518</v>
      </c>
      <c r="C5" s="9"/>
      <c r="D5" s="9"/>
      <c r="E5" s="9"/>
      <c r="F5" s="9"/>
      <c r="G5" s="13"/>
      <c r="H5" s="13"/>
      <c r="I5" s="13"/>
      <c r="J5" s="13"/>
      <c r="K5" s="14"/>
      <c r="L5" s="7"/>
      <c r="M5" s="7"/>
      <c r="N5" s="7"/>
      <c r="O5" s="7"/>
      <c r="P5" s="7"/>
      <c r="Q5" s="7"/>
      <c r="R5" s="7"/>
      <c r="S5" s="7"/>
      <c r="T5" s="7"/>
      <c r="U5" s="7"/>
      <c r="V5" s="7"/>
      <c r="W5" s="7"/>
    </row>
    <row r="6" spans="1:52" ht="14.4" customHeight="1" x14ac:dyDescent="0.25">
      <c r="A6" s="438"/>
      <c r="B6" s="374" t="s">
        <v>519</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thickBot="1" x14ac:dyDescent="0.3">
      <c r="A8" s="11"/>
      <c r="B8" s="374"/>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thickBot="1" x14ac:dyDescent="0.3">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442" t="s">
        <v>427</v>
      </c>
      <c r="C10" s="443">
        <v>1.5</v>
      </c>
      <c r="D10" s="443">
        <v>0.9</v>
      </c>
      <c r="E10" s="444">
        <v>0.4</v>
      </c>
      <c r="F10" s="9"/>
      <c r="G10" s="13"/>
      <c r="H10" s="13"/>
      <c r="I10" s="13"/>
      <c r="J10" s="13"/>
      <c r="K10" s="1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445" t="s">
        <v>525</v>
      </c>
      <c r="C11" s="446">
        <v>1</v>
      </c>
      <c r="D11" s="446">
        <v>1</v>
      </c>
      <c r="E11" s="447">
        <v>1</v>
      </c>
      <c r="F11" s="9"/>
      <c r="G11" s="13"/>
      <c r="H11" s="13"/>
      <c r="I11" s="13"/>
      <c r="J11" s="13"/>
      <c r="K11" s="14"/>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11"/>
      <c r="B12" s="448" t="s">
        <v>426</v>
      </c>
      <c r="C12" s="449">
        <v>1.3</v>
      </c>
      <c r="D12" s="449">
        <v>1.1000000000000001</v>
      </c>
      <c r="E12" s="450">
        <v>1.6</v>
      </c>
      <c r="F12" s="9"/>
      <c r="G12" s="13"/>
      <c r="H12" s="13"/>
      <c r="I12" s="13"/>
      <c r="J12" s="13"/>
      <c r="K12" s="14"/>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451"/>
      <c r="B13" s="15"/>
      <c r="C13" s="9"/>
      <c r="D13" s="9"/>
      <c r="E13" s="9"/>
      <c r="F13" s="9"/>
      <c r="G13" s="13"/>
      <c r="H13" s="13"/>
      <c r="I13" s="13"/>
      <c r="J13" s="13"/>
      <c r="K13" s="14"/>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451"/>
      <c r="B15" s="15"/>
      <c r="C15" s="9"/>
      <c r="D15" s="9"/>
      <c r="E15" s="9"/>
      <c r="F15" s="9"/>
      <c r="G15" s="13"/>
      <c r="H15" s="13"/>
      <c r="I15" s="13"/>
      <c r="J15" s="13"/>
      <c r="K15" s="14"/>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451"/>
      <c r="B16" s="15"/>
      <c r="C16" s="9"/>
      <c r="D16" s="9"/>
      <c r="E16" s="9"/>
      <c r="F16" s="9"/>
      <c r="G16" s="13"/>
      <c r="H16" s="13"/>
      <c r="I16" s="13"/>
      <c r="J16" s="13"/>
      <c r="K16" s="14"/>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451"/>
      <c r="B18" s="15"/>
      <c r="C18" s="9"/>
      <c r="D18" s="9"/>
      <c r="E18" s="9"/>
      <c r="F18" s="9"/>
      <c r="G18" s="13"/>
      <c r="H18" s="13"/>
      <c r="I18" s="13"/>
      <c r="J18" s="13"/>
      <c r="K18" s="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11"/>
      <c r="B19" s="15"/>
      <c r="C19" s="9"/>
      <c r="D19" s="9"/>
      <c r="E19" s="9"/>
      <c r="F19" s="9"/>
      <c r="G19" s="13"/>
      <c r="H19" s="13"/>
      <c r="I19" s="13"/>
      <c r="J19" s="13"/>
      <c r="K19" s="14"/>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11"/>
      <c r="B20" s="15"/>
      <c r="C20" s="9"/>
      <c r="D20" s="9"/>
      <c r="E20" s="9"/>
      <c r="F20" s="9"/>
      <c r="G20" s="13"/>
      <c r="H20" s="13"/>
      <c r="I20" s="13"/>
      <c r="J20" s="13"/>
      <c r="K20" s="1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11"/>
      <c r="B22" s="15"/>
      <c r="C22" s="9"/>
      <c r="D22" s="9"/>
      <c r="E22" s="9"/>
      <c r="F22" s="9"/>
      <c r="G22" s="13"/>
      <c r="H22" s="13"/>
      <c r="I22" s="13"/>
      <c r="J22" s="13"/>
      <c r="K22" s="14"/>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11"/>
      <c r="B25" s="15"/>
      <c r="C25" s="9"/>
      <c r="D25" s="9"/>
      <c r="E25" s="9"/>
      <c r="F25" s="9"/>
      <c r="G25" s="13"/>
      <c r="H25" s="13"/>
      <c r="I25" s="13"/>
      <c r="J25" s="13"/>
      <c r="K25" s="14"/>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11"/>
      <c r="B26" s="15"/>
      <c r="C26" s="9"/>
      <c r="D26" s="9"/>
      <c r="E26" s="9"/>
      <c r="F26" s="9"/>
      <c r="G26" s="13"/>
      <c r="H26" s="13"/>
      <c r="I26" s="13"/>
      <c r="J26" s="13"/>
      <c r="K26" s="14"/>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11"/>
      <c r="B28" s="15"/>
      <c r="C28" s="9"/>
      <c r="D28" s="9"/>
      <c r="E28" s="9"/>
      <c r="F28" s="9"/>
      <c r="G28" s="13"/>
      <c r="H28" s="13"/>
      <c r="I28" s="13"/>
      <c r="J28" s="13"/>
      <c r="K28" s="1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11"/>
      <c r="B30" s="15"/>
      <c r="C30" s="9"/>
      <c r="D30" s="9"/>
      <c r="E30" s="9"/>
      <c r="F30" s="9"/>
      <c r="G30" s="13"/>
      <c r="H30" s="13"/>
      <c r="I30" s="13"/>
      <c r="J30" s="13"/>
      <c r="K30" s="1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 customHeight="1" x14ac:dyDescent="0.25">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thickBot="1" x14ac:dyDescent="0.3">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 customHeight="1" x14ac:dyDescent="0.25">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t="s">
        <v>531</v>
      </c>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t="s">
        <v>532</v>
      </c>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t="s">
        <v>533</v>
      </c>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t="s">
        <v>534</v>
      </c>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 hidden="1" customHeight="1" x14ac:dyDescent="0.25"/>
    <row r="202" spans="1:52" ht="14.4" hidden="1" customHeight="1" x14ac:dyDescent="0.25"/>
    <row r="203" spans="1:52" ht="14.4" hidden="1" customHeight="1" x14ac:dyDescent="0.25"/>
    <row r="204" spans="1:52" ht="14.4" hidden="1" customHeight="1" x14ac:dyDescent="0.25">
      <c r="J204" s="1"/>
    </row>
    <row r="205" spans="1:52" ht="14.4" hidden="1" customHeight="1" x14ac:dyDescent="0.25">
      <c r="J205" s="1"/>
    </row>
    <row r="206" spans="1:52" ht="14.4" hidden="1" customHeight="1" x14ac:dyDescent="0.25">
      <c r="J206" s="1"/>
    </row>
    <row r="207" spans="1:52" ht="14.4" hidden="1" customHeight="1" x14ac:dyDescent="0.25">
      <c r="J207" s="1"/>
    </row>
    <row r="208" spans="1:52" ht="14.4" hidden="1" customHeight="1" x14ac:dyDescent="0.25">
      <c r="J208" s="1"/>
    </row>
    <row r="209" spans="10:10" ht="14.4" hidden="1" customHeight="1" x14ac:dyDescent="0.25">
      <c r="J209" s="1"/>
    </row>
    <row r="210" spans="10:10" ht="14.4" hidden="1" customHeight="1" x14ac:dyDescent="0.25">
      <c r="J210" s="1"/>
    </row>
    <row r="211" spans="10:10" ht="14.4" hidden="1" customHeight="1" x14ac:dyDescent="0.25">
      <c r="J211" s="1"/>
    </row>
    <row r="212" spans="10:10" ht="14.4" hidden="1" customHeight="1" x14ac:dyDescent="0.25">
      <c r="J212" s="1"/>
    </row>
    <row r="213" spans="10:10" ht="14.4" hidden="1" customHeight="1" x14ac:dyDescent="0.25">
      <c r="J213" s="1"/>
    </row>
    <row r="214" spans="10:10" ht="14.4" hidden="1" customHeight="1" x14ac:dyDescent="0.25">
      <c r="J214" s="1"/>
    </row>
    <row r="215" spans="10:10" ht="14.4" hidden="1" customHeight="1" x14ac:dyDescent="0.25">
      <c r="J215" s="1"/>
    </row>
    <row r="216" spans="10:10" ht="14.4" hidden="1" customHeight="1" x14ac:dyDescent="0.25">
      <c r="J216" s="1"/>
    </row>
    <row r="217" spans="10:10" ht="14.4" hidden="1" customHeight="1" x14ac:dyDescent="0.25">
      <c r="J217" s="1"/>
    </row>
    <row r="218" spans="10:10" ht="14.4" hidden="1" customHeight="1" x14ac:dyDescent="0.25">
      <c r="J218" s="1"/>
    </row>
    <row r="219" spans="10:10" ht="14.4" hidden="1" customHeight="1" x14ac:dyDescent="0.25">
      <c r="J219" s="1"/>
    </row>
    <row r="220" spans="10:10" ht="14.4" hidden="1" customHeight="1" x14ac:dyDescent="0.25">
      <c r="J220" s="1"/>
    </row>
    <row r="221" spans="10:10" ht="14.4" hidden="1" customHeight="1" x14ac:dyDescent="0.25">
      <c r="J221" s="1"/>
    </row>
    <row r="222" spans="10:10" ht="14.4" hidden="1" customHeight="1" x14ac:dyDescent="0.25">
      <c r="J222" s="1"/>
    </row>
    <row r="223" spans="10:10" ht="0" hidden="1" customHeight="1" x14ac:dyDescent="0.25">
      <c r="J223" s="1"/>
    </row>
    <row r="224" spans="10:10" ht="0" hidden="1" customHeight="1" x14ac:dyDescent="0.25">
      <c r="J224" s="1"/>
    </row>
    <row r="225" spans="10:10" ht="0" hidden="1" customHeight="1" x14ac:dyDescent="0.25">
      <c r="J225" s="1"/>
    </row>
    <row r="226" spans="10:10" ht="0" hidden="1" customHeight="1" x14ac:dyDescent="0.25">
      <c r="J226" s="1"/>
    </row>
    <row r="227" spans="10:10" ht="14.25" hidden="1" customHeight="1" x14ac:dyDescent="0.25"/>
    <row r="228" spans="10:10" ht="14.25" hidden="1" customHeight="1" x14ac:dyDescent="0.25"/>
    <row r="229" spans="10:10" ht="14.25" hidden="1" customHeight="1" x14ac:dyDescent="0.25"/>
    <row r="230" spans="10:10" ht="14.25" hidden="1" customHeight="1" x14ac:dyDescent="0.25"/>
    <row r="231" spans="10:10" ht="14.25" hidden="1" customHeight="1" x14ac:dyDescent="0.25"/>
  </sheetData>
  <conditionalFormatting sqref="B1">
    <cfRule type="cellIs" dxfId="122" priority="1" operator="equal">
      <formula>"Review Later"</formula>
    </cfRule>
    <cfRule type="cellIs" dxfId="121" priority="2" operator="equal">
      <formula>"Finished"</formula>
    </cfRule>
    <cfRule type="cellIs" dxfId="120" priority="3" operator="equal">
      <formula>"Incomplete"</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C231"/>
  <sheetViews>
    <sheetView zoomScaleNormal="100" workbookViewId="0"/>
  </sheetViews>
  <sheetFormatPr defaultColWidth="0" defaultRowHeight="0" customHeight="1" zeroHeight="1" x14ac:dyDescent="0.25"/>
  <cols>
    <col min="1" max="1" width="11.6640625" style="1" customWidth="1"/>
    <col min="2" max="5" width="20.44140625" style="1" customWidth="1"/>
    <col min="6" max="9" width="10.6640625" style="1" customWidth="1"/>
    <col min="10" max="10" width="10.6640625" style="21" customWidth="1"/>
    <col min="11" max="52" width="10.6640625" style="1" customWidth="1"/>
    <col min="53" max="55" width="0" style="1" hidden="1" customWidth="1"/>
    <col min="56" max="16384" width="10.6640625" style="1" hidden="1"/>
  </cols>
  <sheetData>
    <row r="1" spans="1:52" ht="14.4" customHeight="1" thickBot="1" x14ac:dyDescent="0.3">
      <c r="A1" s="3">
        <v>13</v>
      </c>
      <c r="B1" s="4"/>
      <c r="C1" s="5"/>
      <c r="D1" s="5"/>
      <c r="E1" s="5"/>
      <c r="F1" s="5"/>
      <c r="G1" s="5"/>
      <c r="H1" s="5"/>
      <c r="I1" s="5"/>
      <c r="J1" s="5"/>
      <c r="K1" s="6"/>
      <c r="L1" s="7"/>
      <c r="M1" s="7"/>
      <c r="N1" s="7"/>
      <c r="O1" s="7"/>
      <c r="P1" s="7"/>
      <c r="Q1" s="7"/>
      <c r="R1" s="7"/>
      <c r="S1" s="7"/>
      <c r="T1" s="7"/>
      <c r="U1" s="7"/>
      <c r="V1" s="7"/>
      <c r="W1" s="7"/>
    </row>
    <row r="2" spans="1:52" ht="14.4" customHeight="1" x14ac:dyDescent="0.25">
      <c r="A2" s="8" t="s">
        <v>4</v>
      </c>
      <c r="B2" s="9"/>
      <c r="C2" s="9"/>
      <c r="D2" s="9"/>
      <c r="E2" s="9"/>
      <c r="F2" s="9"/>
      <c r="G2" s="9"/>
      <c r="H2" s="9"/>
      <c r="I2" s="9"/>
      <c r="J2" s="9"/>
      <c r="K2" s="10"/>
      <c r="L2" s="7"/>
      <c r="M2" s="7"/>
      <c r="N2" s="7"/>
      <c r="O2" s="7"/>
      <c r="P2" s="7"/>
      <c r="Q2" s="7"/>
      <c r="R2" s="7"/>
      <c r="S2" s="7"/>
      <c r="T2" s="7"/>
      <c r="U2" s="7"/>
      <c r="V2" s="7"/>
      <c r="W2" s="7"/>
    </row>
    <row r="3" spans="1:52" ht="14.4" customHeight="1" x14ac:dyDescent="0.25">
      <c r="A3" s="11">
        <v>2</v>
      </c>
      <c r="B3" s="9"/>
      <c r="C3" s="9"/>
      <c r="D3" s="9"/>
      <c r="E3" s="9"/>
      <c r="F3" s="9"/>
      <c r="G3" s="9"/>
      <c r="H3" s="9"/>
      <c r="I3" s="9"/>
      <c r="J3" s="9"/>
      <c r="K3" s="10"/>
      <c r="L3" s="7"/>
      <c r="M3" s="7"/>
      <c r="N3" s="7"/>
      <c r="O3" s="7"/>
      <c r="P3" s="7"/>
      <c r="Q3" s="7"/>
      <c r="R3" s="7"/>
      <c r="S3" s="7"/>
      <c r="T3" s="7"/>
      <c r="U3" s="7"/>
      <c r="V3" s="7"/>
      <c r="W3" s="7"/>
    </row>
    <row r="4" spans="1:52" ht="14.4" customHeight="1" x14ac:dyDescent="0.25">
      <c r="A4" s="11"/>
      <c r="B4" s="15" t="s">
        <v>517</v>
      </c>
      <c r="C4" s="9"/>
      <c r="D4" s="9"/>
      <c r="E4" s="9"/>
      <c r="F4" s="9"/>
      <c r="G4" s="13"/>
      <c r="H4" s="13"/>
      <c r="I4" s="13"/>
      <c r="J4" s="13"/>
      <c r="K4" s="14"/>
      <c r="L4" s="7"/>
      <c r="M4" s="7"/>
      <c r="N4" s="7"/>
      <c r="O4" s="7"/>
      <c r="P4" s="7"/>
      <c r="Q4" s="7"/>
      <c r="R4" s="7"/>
      <c r="S4" s="7"/>
      <c r="T4" s="7"/>
      <c r="U4" s="7"/>
      <c r="V4" s="7"/>
      <c r="W4" s="7"/>
    </row>
    <row r="5" spans="1:52" ht="14.4" customHeight="1" x14ac:dyDescent="0.25">
      <c r="A5" s="438"/>
      <c r="B5" s="374" t="s">
        <v>518</v>
      </c>
      <c r="C5" s="9"/>
      <c r="D5" s="9"/>
      <c r="E5" s="9"/>
      <c r="F5" s="9"/>
      <c r="G5" s="13"/>
      <c r="H5" s="13"/>
      <c r="I5" s="13"/>
      <c r="J5" s="13"/>
      <c r="K5" s="14"/>
      <c r="L5" s="7"/>
      <c r="M5" s="7"/>
      <c r="N5" s="7"/>
      <c r="O5" s="7"/>
      <c r="P5" s="7"/>
      <c r="Q5" s="7"/>
      <c r="R5" s="7"/>
      <c r="S5" s="7"/>
      <c r="T5" s="7"/>
      <c r="U5" s="7"/>
      <c r="V5" s="7"/>
      <c r="W5" s="7"/>
    </row>
    <row r="6" spans="1:52" ht="14.4" customHeight="1" x14ac:dyDescent="0.25">
      <c r="A6" s="438"/>
      <c r="B6" s="374" t="s">
        <v>519</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thickBot="1" x14ac:dyDescent="0.3">
      <c r="A8" s="11"/>
      <c r="B8" s="374"/>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thickBot="1" x14ac:dyDescent="0.3">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442" t="s">
        <v>427</v>
      </c>
      <c r="C10" s="443">
        <v>1.5</v>
      </c>
      <c r="D10" s="443">
        <v>0.9</v>
      </c>
      <c r="E10" s="444">
        <v>0.4</v>
      </c>
      <c r="F10" s="9"/>
      <c r="G10" s="13"/>
      <c r="H10" s="13"/>
      <c r="I10" s="13"/>
      <c r="J10" s="13"/>
      <c r="K10" s="1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445" t="s">
        <v>525</v>
      </c>
      <c r="C11" s="446">
        <v>1</v>
      </c>
      <c r="D11" s="446">
        <v>1</v>
      </c>
      <c r="E11" s="447">
        <v>1</v>
      </c>
      <c r="F11" s="9"/>
      <c r="G11" s="13"/>
      <c r="H11" s="13"/>
      <c r="I11" s="13"/>
      <c r="J11" s="13"/>
      <c r="K11" s="14"/>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11"/>
      <c r="B12" s="448" t="s">
        <v>426</v>
      </c>
      <c r="C12" s="449">
        <v>1.3</v>
      </c>
      <c r="D12" s="449">
        <v>1.1000000000000001</v>
      </c>
      <c r="E12" s="450">
        <v>1.6</v>
      </c>
      <c r="F12" s="9"/>
      <c r="G12" s="13"/>
      <c r="H12" s="13"/>
      <c r="I12" s="13"/>
      <c r="J12" s="13"/>
      <c r="K12" s="14"/>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451"/>
      <c r="B13" s="15"/>
      <c r="C13" s="9"/>
      <c r="D13" s="9"/>
      <c r="E13" s="9"/>
      <c r="F13" s="9"/>
      <c r="G13" s="13"/>
      <c r="H13" s="13"/>
      <c r="I13" s="13"/>
      <c r="J13" s="13"/>
      <c r="K13" s="14"/>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451"/>
      <c r="B15" s="15"/>
      <c r="C15" s="9"/>
      <c r="D15" s="9"/>
      <c r="E15" s="9"/>
      <c r="F15" s="9"/>
      <c r="G15" s="13"/>
      <c r="H15" s="13"/>
      <c r="I15" s="13"/>
      <c r="J15" s="13"/>
      <c r="K15" s="14"/>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451"/>
      <c r="B16" s="15"/>
      <c r="C16" s="9"/>
      <c r="D16" s="9"/>
      <c r="E16" s="9"/>
      <c r="F16" s="9"/>
      <c r="G16" s="13"/>
      <c r="H16" s="13"/>
      <c r="I16" s="13"/>
      <c r="J16" s="13"/>
      <c r="K16" s="14"/>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451"/>
      <c r="B18" s="15"/>
      <c r="C18" s="9"/>
      <c r="D18" s="9"/>
      <c r="E18" s="9"/>
      <c r="F18" s="9"/>
      <c r="G18" s="13"/>
      <c r="H18" s="13"/>
      <c r="I18" s="13"/>
      <c r="J18" s="13"/>
      <c r="K18" s="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11"/>
      <c r="B19" s="15"/>
      <c r="C19" s="9"/>
      <c r="D19" s="9"/>
      <c r="E19" s="9"/>
      <c r="F19" s="9"/>
      <c r="G19" s="13"/>
      <c r="H19" s="13"/>
      <c r="I19" s="13"/>
      <c r="J19" s="13"/>
      <c r="K19" s="14"/>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11"/>
      <c r="B20" s="15"/>
      <c r="C20" s="9"/>
      <c r="D20" s="9"/>
      <c r="E20" s="9"/>
      <c r="F20" s="9"/>
      <c r="G20" s="13"/>
      <c r="H20" s="13"/>
      <c r="I20" s="13"/>
      <c r="J20" s="13"/>
      <c r="K20" s="1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11"/>
      <c r="B22" s="15"/>
      <c r="C22" s="9"/>
      <c r="D22" s="9"/>
      <c r="E22" s="9"/>
      <c r="F22" s="9"/>
      <c r="G22" s="13"/>
      <c r="H22" s="13"/>
      <c r="I22" s="13"/>
      <c r="J22" s="13"/>
      <c r="K22" s="14"/>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11"/>
      <c r="B25" s="15"/>
      <c r="C25" s="9"/>
      <c r="D25" s="9"/>
      <c r="E25" s="9"/>
      <c r="F25" s="9"/>
      <c r="G25" s="13"/>
      <c r="H25" s="13"/>
      <c r="I25" s="13"/>
      <c r="J25" s="13"/>
      <c r="K25" s="14"/>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11"/>
      <c r="B26" s="15"/>
      <c r="C26" s="9"/>
      <c r="D26" s="9"/>
      <c r="E26" s="9"/>
      <c r="F26" s="9"/>
      <c r="G26" s="13"/>
      <c r="H26" s="13"/>
      <c r="I26" s="13"/>
      <c r="J26" s="13"/>
      <c r="K26" s="14"/>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11"/>
      <c r="B28" s="15"/>
      <c r="C28" s="9"/>
      <c r="D28" s="9"/>
      <c r="E28" s="9"/>
      <c r="F28" s="9"/>
      <c r="G28" s="13"/>
      <c r="H28" s="13"/>
      <c r="I28" s="13"/>
      <c r="J28" s="13"/>
      <c r="K28" s="1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11"/>
      <c r="B30" s="15"/>
      <c r="C30" s="9"/>
      <c r="D30" s="9"/>
      <c r="E30" s="9"/>
      <c r="F30" s="9"/>
      <c r="G30" s="13"/>
      <c r="H30" s="13"/>
      <c r="I30" s="13"/>
      <c r="J30" s="13"/>
      <c r="K30" s="1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 customHeight="1" x14ac:dyDescent="0.25">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thickBot="1" x14ac:dyDescent="0.3">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 customHeight="1" x14ac:dyDescent="0.25">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t="s">
        <v>535</v>
      </c>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t="s">
        <v>536</v>
      </c>
      <c r="B43" s="7" t="s">
        <v>537</v>
      </c>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t="s">
        <v>538</v>
      </c>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t="s">
        <v>539</v>
      </c>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t="s">
        <v>540</v>
      </c>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t="s">
        <v>541</v>
      </c>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t="s">
        <v>542</v>
      </c>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t="s">
        <v>543</v>
      </c>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t="s">
        <v>544</v>
      </c>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t="s">
        <v>545</v>
      </c>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244" t="s">
        <v>546</v>
      </c>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t="s">
        <v>547</v>
      </c>
      <c r="B54" s="7" t="s">
        <v>548</v>
      </c>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t="s">
        <v>549</v>
      </c>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t="s">
        <v>550</v>
      </c>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t="s">
        <v>551</v>
      </c>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t="s">
        <v>552</v>
      </c>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t="s">
        <v>553</v>
      </c>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244" t="s">
        <v>554</v>
      </c>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 hidden="1" customHeight="1" x14ac:dyDescent="0.25"/>
    <row r="202" spans="1:52" ht="14.4" hidden="1" customHeight="1" x14ac:dyDescent="0.25"/>
    <row r="203" spans="1:52" ht="14.4" hidden="1" customHeight="1" x14ac:dyDescent="0.25"/>
    <row r="204" spans="1:52" ht="14.4" hidden="1" customHeight="1" x14ac:dyDescent="0.25">
      <c r="J204" s="1"/>
    </row>
    <row r="205" spans="1:52" ht="14.4" hidden="1" customHeight="1" x14ac:dyDescent="0.25">
      <c r="J205" s="1"/>
    </row>
    <row r="206" spans="1:52" ht="14.4" hidden="1" customHeight="1" x14ac:dyDescent="0.25">
      <c r="J206" s="1"/>
    </row>
    <row r="207" spans="1:52" ht="14.4" hidden="1" customHeight="1" x14ac:dyDescent="0.25">
      <c r="J207" s="1"/>
    </row>
    <row r="208" spans="1:52" ht="14.4" hidden="1" customHeight="1" x14ac:dyDescent="0.25">
      <c r="J208" s="1"/>
    </row>
    <row r="209" spans="10:10" ht="14.4" hidden="1" customHeight="1" x14ac:dyDescent="0.25">
      <c r="J209" s="1"/>
    </row>
    <row r="210" spans="10:10" ht="14.4" hidden="1" customHeight="1" x14ac:dyDescent="0.25">
      <c r="J210" s="1"/>
    </row>
    <row r="211" spans="10:10" ht="14.4" hidden="1" customHeight="1" x14ac:dyDescent="0.25">
      <c r="J211" s="1"/>
    </row>
    <row r="212" spans="10:10" ht="14.4" hidden="1" customHeight="1" x14ac:dyDescent="0.25">
      <c r="J212" s="1"/>
    </row>
    <row r="213" spans="10:10" ht="14.4" hidden="1" customHeight="1" x14ac:dyDescent="0.25">
      <c r="J213" s="1"/>
    </row>
    <row r="214" spans="10:10" ht="14.4" hidden="1" customHeight="1" x14ac:dyDescent="0.25">
      <c r="J214" s="1"/>
    </row>
    <row r="215" spans="10:10" ht="14.4" hidden="1" customHeight="1" x14ac:dyDescent="0.25">
      <c r="J215" s="1"/>
    </row>
    <row r="216" spans="10:10" ht="14.4" hidden="1" customHeight="1" x14ac:dyDescent="0.25">
      <c r="J216" s="1"/>
    </row>
    <row r="217" spans="10:10" ht="14.4" hidden="1" customHeight="1" x14ac:dyDescent="0.25">
      <c r="J217" s="1"/>
    </row>
    <row r="218" spans="10:10" ht="14.4" hidden="1" customHeight="1" x14ac:dyDescent="0.25">
      <c r="J218" s="1"/>
    </row>
    <row r="219" spans="10:10" ht="14.4" hidden="1" customHeight="1" x14ac:dyDescent="0.25">
      <c r="J219" s="1"/>
    </row>
    <row r="220" spans="10:10" ht="14.4" hidden="1" customHeight="1" x14ac:dyDescent="0.25">
      <c r="J220" s="1"/>
    </row>
    <row r="221" spans="10:10" ht="14.4" hidden="1" customHeight="1" x14ac:dyDescent="0.25">
      <c r="J221" s="1"/>
    </row>
    <row r="222" spans="10:10" ht="14.4" hidden="1" customHeight="1" x14ac:dyDescent="0.25">
      <c r="J222" s="1"/>
    </row>
    <row r="223" spans="10:10" ht="0" hidden="1" customHeight="1" x14ac:dyDescent="0.25">
      <c r="J223" s="1"/>
    </row>
    <row r="224" spans="10:10" ht="0" hidden="1" customHeight="1" x14ac:dyDescent="0.25">
      <c r="J224" s="1"/>
    </row>
    <row r="225" spans="10:10" ht="0" hidden="1" customHeight="1" x14ac:dyDescent="0.25">
      <c r="J225" s="1"/>
    </row>
    <row r="226" spans="10:10" ht="0" hidden="1" customHeight="1" x14ac:dyDescent="0.25">
      <c r="J226" s="1"/>
    </row>
    <row r="227" spans="10:10" ht="14.25" hidden="1" customHeight="1" x14ac:dyDescent="0.25"/>
    <row r="228" spans="10:10" ht="14.25" hidden="1" customHeight="1" x14ac:dyDescent="0.25"/>
    <row r="229" spans="10:10" ht="14.25" hidden="1" customHeight="1" x14ac:dyDescent="0.25"/>
    <row r="230" spans="10:10" ht="14.25" hidden="1" customHeight="1" x14ac:dyDescent="0.25"/>
    <row r="231" spans="10:10" ht="14.25" hidden="1" customHeight="1" x14ac:dyDescent="0.25"/>
  </sheetData>
  <conditionalFormatting sqref="B1">
    <cfRule type="cellIs" dxfId="119" priority="1" operator="equal">
      <formula>"Review Later"</formula>
    </cfRule>
    <cfRule type="cellIs" dxfId="118" priority="2" operator="equal">
      <formula>"Finished"</formula>
    </cfRule>
    <cfRule type="cellIs" dxfId="117" priority="3" operator="equal">
      <formula>"Incomplete"</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C231"/>
  <sheetViews>
    <sheetView zoomScaleNormal="100" workbookViewId="0"/>
  </sheetViews>
  <sheetFormatPr defaultColWidth="0" defaultRowHeight="0" customHeight="1" zeroHeight="1" x14ac:dyDescent="0.25"/>
  <cols>
    <col min="1" max="1" width="11.6640625" style="1" customWidth="1"/>
    <col min="2" max="2" width="20" style="1" customWidth="1"/>
    <col min="3" max="5" width="20.44140625" style="1" customWidth="1"/>
    <col min="6" max="9" width="10.6640625" style="1" customWidth="1"/>
    <col min="10" max="10" width="10.6640625" style="21" customWidth="1"/>
    <col min="11" max="52" width="10.6640625" style="1" customWidth="1"/>
    <col min="53" max="55" width="0" style="1" hidden="1" customWidth="1"/>
    <col min="56" max="16384" width="10.6640625" style="1" hidden="1"/>
  </cols>
  <sheetData>
    <row r="1" spans="1:52" ht="14.4" customHeight="1" thickBot="1" x14ac:dyDescent="0.3">
      <c r="A1" s="3">
        <v>13</v>
      </c>
      <c r="B1" s="4"/>
      <c r="C1" s="5"/>
      <c r="D1" s="5"/>
      <c r="E1" s="5"/>
      <c r="F1" s="5"/>
      <c r="G1" s="5"/>
      <c r="H1" s="5"/>
      <c r="I1" s="5"/>
      <c r="J1" s="5"/>
      <c r="K1" s="6"/>
      <c r="L1" s="7"/>
      <c r="M1" s="7"/>
      <c r="N1" s="7"/>
      <c r="O1" s="7"/>
      <c r="P1" s="7"/>
      <c r="Q1" s="7"/>
      <c r="R1" s="7"/>
      <c r="S1" s="7"/>
      <c r="T1" s="7"/>
      <c r="U1" s="7"/>
      <c r="V1" s="7"/>
      <c r="W1" s="7"/>
    </row>
    <row r="2" spans="1:52" ht="14.4" customHeight="1" x14ac:dyDescent="0.25">
      <c r="A2" s="8" t="s">
        <v>4</v>
      </c>
      <c r="B2" s="9"/>
      <c r="C2" s="9"/>
      <c r="D2" s="9"/>
      <c r="E2" s="9"/>
      <c r="F2" s="9"/>
      <c r="G2" s="9"/>
      <c r="H2" s="9"/>
      <c r="I2" s="9"/>
      <c r="J2" s="9"/>
      <c r="K2" s="10"/>
      <c r="L2" s="7"/>
      <c r="M2" s="7"/>
      <c r="N2" s="7"/>
      <c r="O2" s="7"/>
      <c r="P2" s="7"/>
      <c r="Q2" s="7"/>
      <c r="R2" s="7"/>
      <c r="S2" s="7"/>
      <c r="T2" s="7"/>
      <c r="U2" s="7"/>
      <c r="V2" s="7"/>
      <c r="W2" s="7"/>
    </row>
    <row r="3" spans="1:52" ht="14.4" customHeight="1" x14ac:dyDescent="0.25">
      <c r="A3" s="11">
        <v>2</v>
      </c>
      <c r="B3" s="9"/>
      <c r="C3" s="9"/>
      <c r="D3" s="9"/>
      <c r="E3" s="9"/>
      <c r="F3" s="9"/>
      <c r="G3" s="9"/>
      <c r="H3" s="9"/>
      <c r="I3" s="9"/>
      <c r="J3" s="9"/>
      <c r="K3" s="10"/>
      <c r="L3" s="7"/>
      <c r="M3" s="7"/>
      <c r="N3" s="7"/>
      <c r="O3" s="7"/>
      <c r="P3" s="7"/>
      <c r="Q3" s="7"/>
      <c r="R3" s="7"/>
      <c r="S3" s="7"/>
      <c r="T3" s="7"/>
      <c r="U3" s="7"/>
      <c r="V3" s="7"/>
      <c r="W3" s="7"/>
    </row>
    <row r="4" spans="1:52" ht="14.4" customHeight="1" x14ac:dyDescent="0.25">
      <c r="A4" s="11"/>
      <c r="B4" s="15" t="s">
        <v>517</v>
      </c>
      <c r="C4" s="9"/>
      <c r="D4" s="9"/>
      <c r="E4" s="9"/>
      <c r="F4" s="9"/>
      <c r="G4" s="13"/>
      <c r="H4" s="13"/>
      <c r="I4" s="13"/>
      <c r="J4" s="13"/>
      <c r="K4" s="14"/>
      <c r="L4" s="7"/>
      <c r="M4" s="244" t="s">
        <v>555</v>
      </c>
      <c r="N4" s="7"/>
      <c r="O4" s="7"/>
      <c r="P4" s="7"/>
      <c r="Q4" s="7"/>
      <c r="R4" s="7"/>
      <c r="S4" s="7"/>
      <c r="T4" s="7"/>
      <c r="U4" s="7"/>
      <c r="V4" s="7"/>
      <c r="W4" s="7"/>
    </row>
    <row r="5" spans="1:52" ht="14.4" customHeight="1" x14ac:dyDescent="0.25">
      <c r="A5" s="438"/>
      <c r="B5" s="374" t="s">
        <v>518</v>
      </c>
      <c r="C5" s="9"/>
      <c r="D5" s="9"/>
      <c r="E5" s="9"/>
      <c r="F5" s="9"/>
      <c r="G5" s="13"/>
      <c r="H5" s="13"/>
      <c r="I5" s="13"/>
      <c r="J5" s="13"/>
      <c r="K5" s="14"/>
      <c r="L5" s="7"/>
      <c r="M5" s="7" t="s">
        <v>556</v>
      </c>
      <c r="N5" s="7"/>
      <c r="O5" s="7"/>
      <c r="P5" s="7"/>
      <c r="Q5" s="7"/>
      <c r="R5" s="7"/>
      <c r="S5" s="7"/>
      <c r="T5" s="7"/>
      <c r="U5" s="7"/>
      <c r="V5" s="7"/>
      <c r="W5" s="7"/>
    </row>
    <row r="6" spans="1:52" ht="14.4" customHeight="1" x14ac:dyDescent="0.25">
      <c r="A6" s="438"/>
      <c r="B6" s="374" t="s">
        <v>519</v>
      </c>
      <c r="C6" s="9"/>
      <c r="D6" s="9"/>
      <c r="E6" s="9"/>
      <c r="F6" s="9"/>
      <c r="G6" s="13"/>
      <c r="H6" s="13"/>
      <c r="I6" s="13"/>
      <c r="J6" s="13"/>
      <c r="K6" s="14"/>
      <c r="L6" s="7"/>
      <c r="M6" s="7" t="s">
        <v>557</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thickBot="1" x14ac:dyDescent="0.3">
      <c r="A8" s="11"/>
      <c r="B8" s="374"/>
      <c r="C8" s="9"/>
      <c r="D8" s="9"/>
      <c r="E8" s="9"/>
      <c r="F8" s="9"/>
      <c r="G8" s="13"/>
      <c r="H8" s="13"/>
      <c r="I8" s="13"/>
      <c r="J8" s="13"/>
      <c r="K8" s="14"/>
      <c r="L8" s="7"/>
      <c r="M8" s="7" t="s">
        <v>558</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thickBot="1" x14ac:dyDescent="0.3">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442" t="s">
        <v>427</v>
      </c>
      <c r="C10" s="443">
        <v>1.5</v>
      </c>
      <c r="D10" s="443">
        <v>0.9</v>
      </c>
      <c r="E10" s="444">
        <v>0.4</v>
      </c>
      <c r="F10" s="9"/>
      <c r="G10" s="13"/>
      <c r="H10" s="13"/>
      <c r="I10" s="13"/>
      <c r="J10" s="13"/>
      <c r="K10" s="14"/>
      <c r="L10" s="7"/>
      <c r="M10" s="7" t="s">
        <v>559</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11"/>
      <c r="B11" s="445" t="s">
        <v>525</v>
      </c>
      <c r="C11" s="446">
        <v>1</v>
      </c>
      <c r="D11" s="446">
        <v>1</v>
      </c>
      <c r="E11" s="447">
        <v>1</v>
      </c>
      <c r="F11" s="9"/>
      <c r="G11" s="13"/>
      <c r="H11" s="13"/>
      <c r="I11" s="13"/>
      <c r="J11" s="13"/>
      <c r="K11" s="14"/>
      <c r="L11" s="7"/>
      <c r="M11" s="7" t="s">
        <v>560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thickBot="1" x14ac:dyDescent="0.3">
      <c r="A12" s="11"/>
      <c r="B12" s="448" t="s">
        <v>426</v>
      </c>
      <c r="C12" s="449">
        <v>1.3</v>
      </c>
      <c r="D12" s="449">
        <v>1.1000000000000001</v>
      </c>
      <c r="E12" s="450">
        <v>1.6</v>
      </c>
      <c r="F12" s="9"/>
      <c r="G12" s="13"/>
      <c r="H12" s="13"/>
      <c r="I12" s="13"/>
      <c r="J12" s="13"/>
      <c r="K12" s="14"/>
      <c r="L12" s="7"/>
      <c r="M12" s="244" t="s">
        <v>523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451"/>
      <c r="B13" s="15"/>
      <c r="C13" s="9"/>
      <c r="D13" s="9"/>
      <c r="E13" s="9"/>
      <c r="F13" s="9"/>
      <c r="G13" s="13"/>
      <c r="H13" s="13"/>
      <c r="I13" s="13"/>
      <c r="J13" s="13"/>
      <c r="K13" s="14"/>
      <c r="L13" s="7"/>
      <c r="M13" s="7" t="s">
        <v>561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x14ac:dyDescent="0.25">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451"/>
      <c r="B15" s="15"/>
      <c r="C15" s="9"/>
      <c r="D15" s="9"/>
      <c r="E15" s="9"/>
      <c r="F15" s="9"/>
      <c r="G15" s="13"/>
      <c r="H15" s="13"/>
      <c r="I15" s="13"/>
      <c r="J15" s="13"/>
      <c r="K15" s="14"/>
      <c r="L15" s="7"/>
      <c r="M15" s="7" t="s">
        <v>562</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451"/>
      <c r="B16" s="15"/>
      <c r="C16" s="9"/>
      <c r="D16" s="9"/>
      <c r="E16" s="9"/>
      <c r="F16" s="9"/>
      <c r="G16" s="13"/>
      <c r="H16" s="13"/>
      <c r="I16" s="13"/>
      <c r="J16" s="13"/>
      <c r="K16" s="14"/>
      <c r="L16" s="7"/>
      <c r="M16" s="7" t="s">
        <v>563</v>
      </c>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451"/>
      <c r="B18" s="15"/>
      <c r="C18" s="9"/>
      <c r="D18" s="9"/>
      <c r="E18" s="9"/>
      <c r="F18" s="9"/>
      <c r="G18" s="13"/>
      <c r="H18" s="13"/>
      <c r="I18" s="13"/>
      <c r="J18" s="13"/>
      <c r="K18" s="14"/>
      <c r="L18" s="7"/>
      <c r="M18" s="244" t="s">
        <v>524</v>
      </c>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11"/>
      <c r="B19" s="15"/>
      <c r="C19" s="9"/>
      <c r="D19" s="9"/>
      <c r="E19" s="9"/>
      <c r="F19" s="9"/>
      <c r="G19" s="13"/>
      <c r="H19" s="13"/>
      <c r="I19" s="13"/>
      <c r="J19" s="13"/>
      <c r="K19" s="14"/>
      <c r="L19" s="7"/>
      <c r="M19" s="7" t="s">
        <v>564</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11"/>
      <c r="B20" s="15"/>
      <c r="C20" s="9"/>
      <c r="D20" s="9"/>
      <c r="E20" s="9"/>
      <c r="F20" s="9"/>
      <c r="G20" s="13"/>
      <c r="H20" s="13"/>
      <c r="I20" s="13"/>
      <c r="J20" s="13"/>
      <c r="K20" s="14"/>
      <c r="L20" s="7"/>
      <c r="M20" s="7" t="s">
        <v>565</v>
      </c>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11"/>
      <c r="B22" s="15"/>
      <c r="C22" s="9"/>
      <c r="D22" s="9"/>
      <c r="E22" s="9"/>
      <c r="F22" s="9"/>
      <c r="G22" s="13"/>
      <c r="H22" s="13"/>
      <c r="I22" s="13"/>
      <c r="J22" s="13"/>
      <c r="K22" s="14"/>
      <c r="L22" s="7"/>
      <c r="M22" s="7" t="s">
        <v>566</v>
      </c>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11"/>
      <c r="B25" s="15"/>
      <c r="C25" s="9"/>
      <c r="D25" s="9"/>
      <c r="E25" s="9"/>
      <c r="F25" s="9"/>
      <c r="G25" s="13"/>
      <c r="H25" s="13"/>
      <c r="I25" s="13"/>
      <c r="J25" s="13"/>
      <c r="K25" s="14"/>
      <c r="L25" s="7"/>
      <c r="M25" s="244" t="s">
        <v>567</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11"/>
      <c r="B26" s="15"/>
      <c r="C26" s="9"/>
      <c r="D26" s="9"/>
      <c r="E26" s="9"/>
      <c r="F26" s="9"/>
      <c r="G26" s="13"/>
      <c r="H26" s="13"/>
      <c r="I26" s="13"/>
      <c r="J26" s="13"/>
      <c r="K26" s="14"/>
      <c r="L26" s="7"/>
      <c r="M26" s="7" t="s">
        <v>568</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11"/>
      <c r="B28" s="15"/>
      <c r="C28" s="9"/>
      <c r="D28" s="9"/>
      <c r="E28" s="9"/>
      <c r="F28" s="9"/>
      <c r="G28" s="13"/>
      <c r="H28" s="13"/>
      <c r="I28" s="13"/>
      <c r="J28" s="13"/>
      <c r="K28" s="14"/>
      <c r="L28" s="7"/>
      <c r="M28" s="7" t="s">
        <v>569</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11"/>
      <c r="B30" s="15"/>
      <c r="C30" s="9"/>
      <c r="D30" s="9"/>
      <c r="E30" s="9"/>
      <c r="F30" s="9"/>
      <c r="G30" s="13"/>
      <c r="H30" s="13"/>
      <c r="I30" s="13"/>
      <c r="J30" s="13"/>
      <c r="K30" s="14"/>
      <c r="L30" s="7"/>
      <c r="M30" s="7" t="s">
        <v>570</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 customHeight="1" x14ac:dyDescent="0.25">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thickBot="1" x14ac:dyDescent="0.3">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 customHeight="1" x14ac:dyDescent="0.25">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 hidden="1" customHeight="1" x14ac:dyDescent="0.25"/>
    <row r="202" spans="1:52" ht="14.4" hidden="1" customHeight="1" x14ac:dyDescent="0.25"/>
    <row r="203" spans="1:52" ht="14.4" hidden="1" customHeight="1" x14ac:dyDescent="0.25"/>
    <row r="204" spans="1:52" ht="14.4" hidden="1" customHeight="1" x14ac:dyDescent="0.25">
      <c r="J204" s="1"/>
    </row>
    <row r="205" spans="1:52" ht="14.4" hidden="1" customHeight="1" x14ac:dyDescent="0.25">
      <c r="J205" s="1"/>
    </row>
    <row r="206" spans="1:52" ht="14.4" hidden="1" customHeight="1" x14ac:dyDescent="0.25">
      <c r="J206" s="1"/>
    </row>
    <row r="207" spans="1:52" ht="14.4" hidden="1" customHeight="1" x14ac:dyDescent="0.25">
      <c r="J207" s="1"/>
    </row>
    <row r="208" spans="1:52" ht="14.4" hidden="1" customHeight="1" x14ac:dyDescent="0.25">
      <c r="J208" s="1"/>
    </row>
    <row r="209" spans="10:10" ht="14.4" hidden="1" customHeight="1" x14ac:dyDescent="0.25">
      <c r="J209" s="1"/>
    </row>
    <row r="210" spans="10:10" ht="14.4" hidden="1" customHeight="1" x14ac:dyDescent="0.25">
      <c r="J210" s="1"/>
    </row>
    <row r="211" spans="10:10" ht="14.4" hidden="1" customHeight="1" x14ac:dyDescent="0.25">
      <c r="J211" s="1"/>
    </row>
    <row r="212" spans="10:10" ht="14.4" hidden="1" customHeight="1" x14ac:dyDescent="0.25">
      <c r="J212" s="1"/>
    </row>
    <row r="213" spans="10:10" ht="14.4" hidden="1" customHeight="1" x14ac:dyDescent="0.25">
      <c r="J213" s="1"/>
    </row>
    <row r="214" spans="10:10" ht="14.4" hidden="1" customHeight="1" x14ac:dyDescent="0.25">
      <c r="J214" s="1"/>
    </row>
    <row r="215" spans="10:10" ht="14.4" hidden="1" customHeight="1" x14ac:dyDescent="0.25">
      <c r="J215" s="1"/>
    </row>
    <row r="216" spans="10:10" ht="14.4" hidden="1" customHeight="1" x14ac:dyDescent="0.25">
      <c r="J216" s="1"/>
    </row>
    <row r="217" spans="10:10" ht="14.4" hidden="1" customHeight="1" x14ac:dyDescent="0.25">
      <c r="J217" s="1"/>
    </row>
    <row r="218" spans="10:10" ht="14.4" hidden="1" customHeight="1" x14ac:dyDescent="0.25">
      <c r="J218" s="1"/>
    </row>
    <row r="219" spans="10:10" ht="14.4" hidden="1" customHeight="1" x14ac:dyDescent="0.25">
      <c r="J219" s="1"/>
    </row>
    <row r="220" spans="10:10" ht="14.4" hidden="1" customHeight="1" x14ac:dyDescent="0.25">
      <c r="J220" s="1"/>
    </row>
    <row r="221" spans="10:10" ht="14.4" hidden="1" customHeight="1" x14ac:dyDescent="0.25">
      <c r="J221" s="1"/>
    </row>
    <row r="222" spans="10:10" ht="14.4" hidden="1" customHeight="1" x14ac:dyDescent="0.25">
      <c r="J222" s="1"/>
    </row>
    <row r="223" spans="10:10" ht="0" hidden="1" customHeight="1" x14ac:dyDescent="0.25">
      <c r="J223" s="1"/>
    </row>
    <row r="224" spans="10:10" ht="0" hidden="1" customHeight="1" x14ac:dyDescent="0.25">
      <c r="J224" s="1"/>
    </row>
    <row r="225" spans="10:10" ht="0" hidden="1" customHeight="1" x14ac:dyDescent="0.25">
      <c r="J225" s="1"/>
    </row>
    <row r="226" spans="10:10" ht="0" hidden="1" customHeight="1" x14ac:dyDescent="0.25">
      <c r="J226" s="1"/>
    </row>
    <row r="227" spans="10:10" ht="14.25" hidden="1" customHeight="1" x14ac:dyDescent="0.25"/>
    <row r="228" spans="10:10" ht="14.25" hidden="1" customHeight="1" x14ac:dyDescent="0.25"/>
    <row r="229" spans="10:10" ht="14.25" hidden="1" customHeight="1" x14ac:dyDescent="0.25"/>
    <row r="230" spans="10:10" ht="14.25" hidden="1" customHeight="1" x14ac:dyDescent="0.25"/>
    <row r="231" spans="10:10" ht="14.25" hidden="1" customHeight="1" x14ac:dyDescent="0.25"/>
  </sheetData>
  <conditionalFormatting sqref="B1">
    <cfRule type="cellIs" dxfId="116" priority="1" operator="equal">
      <formula>"Review Later"</formula>
    </cfRule>
    <cfRule type="cellIs" dxfId="115" priority="2" operator="equal">
      <formula>"Finished"</formula>
    </cfRule>
    <cfRule type="cellIs" dxfId="114" priority="3" operator="equal">
      <formula>"Incomplete"</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C205"/>
  <sheetViews>
    <sheetView zoomScaleNormal="100" workbookViewId="0"/>
  </sheetViews>
  <sheetFormatPr defaultColWidth="0" defaultRowHeight="0" customHeight="1" zeroHeight="1" x14ac:dyDescent="0.25"/>
  <cols>
    <col min="1" max="1" width="11.6640625" style="1" customWidth="1"/>
    <col min="2" max="2" width="15" style="1" customWidth="1"/>
    <col min="3" max="3" width="12.6640625" style="1" customWidth="1"/>
    <col min="4" max="4" width="15.6640625" style="1" customWidth="1"/>
    <col min="5" max="5" width="12.33203125" style="1" customWidth="1"/>
    <col min="6" max="52" width="12.109375" style="1" customWidth="1"/>
    <col min="53" max="55" width="0" style="1" hidden="1" customWidth="1"/>
    <col min="56" max="16384" width="12.109375" style="1" hidden="1"/>
  </cols>
  <sheetData>
    <row r="1" spans="1:52" ht="14.7" customHeight="1" thickBot="1" x14ac:dyDescent="0.3">
      <c r="A1" s="3">
        <v>14</v>
      </c>
      <c r="B1" s="4"/>
      <c r="C1" s="5"/>
      <c r="D1" s="5"/>
      <c r="E1" s="5"/>
      <c r="F1" s="5"/>
      <c r="G1" s="6"/>
      <c r="H1" s="7"/>
      <c r="I1" s="7"/>
      <c r="J1" s="7"/>
      <c r="K1" s="7"/>
      <c r="L1" s="7"/>
      <c r="M1" s="7"/>
      <c r="N1" s="7"/>
      <c r="O1" s="7"/>
      <c r="P1" s="7"/>
      <c r="Q1" s="7"/>
      <c r="R1" s="7"/>
      <c r="S1" s="7"/>
      <c r="T1" s="7"/>
      <c r="U1" s="7"/>
      <c r="V1" s="7"/>
      <c r="W1" s="7"/>
    </row>
    <row r="2" spans="1:52" ht="14.7" customHeight="1" x14ac:dyDescent="0.25">
      <c r="A2" s="8" t="s">
        <v>4</v>
      </c>
      <c r="B2" s="9"/>
      <c r="C2" s="9"/>
      <c r="D2" s="9"/>
      <c r="E2" s="9"/>
      <c r="F2" s="9"/>
      <c r="G2" s="10"/>
      <c r="H2" s="7" t="s">
        <v>0</v>
      </c>
      <c r="I2" s="452" t="s">
        <v>571</v>
      </c>
      <c r="J2" s="7">
        <f>B7/B6/B8</f>
        <v>0.88888888888888895</v>
      </c>
      <c r="K2" s="7"/>
      <c r="L2" s="7"/>
      <c r="M2" s="7"/>
      <c r="N2" s="7"/>
      <c r="O2" s="7"/>
      <c r="P2" s="7"/>
      <c r="Q2" s="7"/>
      <c r="R2" s="7"/>
      <c r="S2" s="7"/>
      <c r="T2" s="7"/>
      <c r="U2" s="7"/>
      <c r="V2" s="7"/>
      <c r="W2" s="7"/>
    </row>
    <row r="3" spans="1:52" ht="14.7" customHeight="1" thickBot="1" x14ac:dyDescent="0.3">
      <c r="A3" s="11">
        <v>1.5</v>
      </c>
      <c r="B3" s="9"/>
      <c r="C3" s="9"/>
      <c r="D3" s="9"/>
      <c r="E3" s="9"/>
      <c r="F3" s="9"/>
      <c r="G3" s="10"/>
      <c r="H3" s="7"/>
      <c r="I3" s="7" t="s">
        <v>572</v>
      </c>
      <c r="J3" s="7" t="s">
        <v>573</v>
      </c>
      <c r="K3" s="7" t="s">
        <v>574</v>
      </c>
      <c r="L3" s="7"/>
      <c r="M3" s="7"/>
      <c r="N3" s="7"/>
      <c r="O3" s="7"/>
      <c r="P3" s="7"/>
      <c r="Q3" s="7"/>
      <c r="R3" s="7"/>
      <c r="S3" s="7"/>
      <c r="T3" s="7"/>
      <c r="U3" s="7"/>
      <c r="V3" s="7"/>
      <c r="W3" s="7"/>
    </row>
    <row r="4" spans="1:52" ht="14.7" customHeight="1" x14ac:dyDescent="0.25">
      <c r="A4" s="11"/>
      <c r="B4" s="9" t="s">
        <v>575</v>
      </c>
      <c r="C4" s="9"/>
      <c r="D4" s="9"/>
      <c r="E4" s="9"/>
      <c r="F4" s="9"/>
      <c r="G4" s="14"/>
      <c r="H4" s="7" t="s">
        <v>16</v>
      </c>
      <c r="I4" s="7">
        <v>50000</v>
      </c>
      <c r="J4" s="453">
        <f>MIN(I4*$J$2,200000)</f>
        <v>44444.444444444445</v>
      </c>
      <c r="K4" s="454">
        <f>MIN(200000,I4)-J4</f>
        <v>5555.5555555555547</v>
      </c>
      <c r="L4" s="7"/>
      <c r="M4" s="7"/>
      <c r="N4" s="7"/>
      <c r="O4" s="7"/>
      <c r="P4" s="7"/>
      <c r="Q4" s="7"/>
      <c r="R4" s="7"/>
      <c r="S4" s="7"/>
      <c r="T4" s="7"/>
      <c r="U4" s="7"/>
      <c r="V4" s="7"/>
      <c r="W4" s="7"/>
    </row>
    <row r="5" spans="1:52" ht="14.7" customHeight="1" thickBot="1" x14ac:dyDescent="0.3">
      <c r="A5" s="11"/>
      <c r="B5" s="9"/>
      <c r="C5" s="9"/>
      <c r="D5" s="9"/>
      <c r="E5" s="9"/>
      <c r="F5" s="9"/>
      <c r="G5" s="14"/>
      <c r="H5" s="7" t="s">
        <v>18</v>
      </c>
      <c r="I5" s="7">
        <v>220000</v>
      </c>
      <c r="J5" s="453">
        <f t="shared" ref="J5:J6" si="0">MIN(I5*$J$2,200000)</f>
        <v>195555.55555555556</v>
      </c>
      <c r="K5" s="455">
        <f t="shared" ref="K5:K6" si="1">MIN(200000,I5)-J5</f>
        <v>4444.444444444438</v>
      </c>
      <c r="L5" s="7"/>
      <c r="M5" s="7"/>
      <c r="N5" s="7"/>
      <c r="O5" s="7"/>
      <c r="P5" s="7"/>
      <c r="Q5" s="7"/>
      <c r="R5" s="7"/>
      <c r="S5" s="7"/>
      <c r="T5" s="7"/>
      <c r="U5" s="7"/>
      <c r="V5" s="7"/>
      <c r="W5" s="7"/>
    </row>
    <row r="6" spans="1:52" ht="14.7" customHeight="1" thickBot="1" x14ac:dyDescent="0.3">
      <c r="A6" s="11"/>
      <c r="B6" s="456">
        <v>250000</v>
      </c>
      <c r="C6" s="457" t="s">
        <v>576</v>
      </c>
      <c r="D6" s="458"/>
      <c r="E6" s="9"/>
      <c r="F6" s="9"/>
      <c r="G6" s="14"/>
      <c r="H6" s="7" t="s">
        <v>20</v>
      </c>
      <c r="I6" s="7">
        <v>250000</v>
      </c>
      <c r="J6" s="453">
        <f t="shared" si="0"/>
        <v>200000</v>
      </c>
      <c r="K6" s="459">
        <f t="shared" si="1"/>
        <v>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thickBot="1" x14ac:dyDescent="0.3">
      <c r="A8" s="11"/>
      <c r="B8" s="462">
        <v>0.9</v>
      </c>
      <c r="C8" s="463" t="s">
        <v>578</v>
      </c>
      <c r="D8" s="50"/>
      <c r="E8" s="9"/>
      <c r="F8" s="9"/>
      <c r="G8" s="10"/>
      <c r="H8" s="7" t="s">
        <v>1</v>
      </c>
      <c r="I8" s="7" t="s">
        <v>579</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15"/>
      <c r="C9" s="464"/>
      <c r="D9" s="9"/>
      <c r="E9" s="9"/>
      <c r="F9" s="9"/>
      <c r="G9" s="10"/>
      <c r="H9" s="7"/>
      <c r="I9" s="7" t="s">
        <v>580</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7" customHeight="1" x14ac:dyDescent="0.25">
      <c r="A10" s="11">
        <v>1</v>
      </c>
      <c r="B10" s="9" t="s">
        <v>10</v>
      </c>
      <c r="C10" s="9"/>
      <c r="D10" s="9"/>
      <c r="E10" s="9"/>
      <c r="F10" s="9"/>
      <c r="G10" s="10"/>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c r="B11" s="19" t="s">
        <v>581</v>
      </c>
      <c r="C11" s="9"/>
      <c r="D11" s="9"/>
      <c r="E11" s="9"/>
      <c r="F11" s="9"/>
      <c r="G11" s="10"/>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465" t="s">
        <v>18</v>
      </c>
      <c r="C13" s="466">
        <v>220000</v>
      </c>
      <c r="D13" s="9"/>
      <c r="E13" s="9"/>
      <c r="F13" s="9"/>
      <c r="G13" s="1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x14ac:dyDescent="0.25">
      <c r="A14" s="11"/>
      <c r="B14" s="465" t="s">
        <v>20</v>
      </c>
      <c r="C14" s="466">
        <v>250000</v>
      </c>
      <c r="D14" s="9"/>
      <c r="E14" s="9"/>
      <c r="F14" s="9"/>
      <c r="G14" s="10"/>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19"/>
      <c r="C15" s="9"/>
      <c r="D15" s="25"/>
      <c r="E15" s="25"/>
      <c r="F15" s="25"/>
      <c r="G15" s="26"/>
      <c r="H15" s="17"/>
      <c r="I15" s="7"/>
      <c r="J15" s="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7" customHeight="1" x14ac:dyDescent="0.25">
      <c r="A16" s="11">
        <v>0.5</v>
      </c>
      <c r="B16" s="19" t="s">
        <v>1</v>
      </c>
      <c r="C16" s="9"/>
      <c r="D16" s="25"/>
      <c r="E16" s="25"/>
      <c r="F16" s="25"/>
      <c r="G16" s="26"/>
      <c r="H16" s="17"/>
      <c r="I16" s="7"/>
      <c r="J16" s="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7" customHeight="1" x14ac:dyDescent="0.25">
      <c r="A17" s="467"/>
      <c r="B17" s="19" t="s">
        <v>582</v>
      </c>
      <c r="C17" s="9"/>
      <c r="D17" s="25"/>
      <c r="E17" s="25"/>
      <c r="F17" s="25"/>
      <c r="G17" s="26"/>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7" customHeight="1" thickBot="1" x14ac:dyDescent="0.3">
      <c r="A18" s="28"/>
      <c r="B18" s="29"/>
      <c r="C18" s="30"/>
      <c r="D18" s="31"/>
      <c r="E18" s="31"/>
      <c r="F18" s="31"/>
      <c r="G18" s="32"/>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7"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7"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7"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13" priority="1" operator="equal">
      <formula>"Review Later"</formula>
    </cfRule>
    <cfRule type="cellIs" dxfId="112" priority="2" operator="equal">
      <formula>"Finished"</formula>
    </cfRule>
    <cfRule type="cellIs" dxfId="111" priority="3" operator="equal">
      <formula>"Incomplete"</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C205"/>
  <sheetViews>
    <sheetView zoomScaleNormal="100" workbookViewId="0"/>
  </sheetViews>
  <sheetFormatPr defaultColWidth="0" defaultRowHeight="0" customHeight="1" zeroHeight="1" x14ac:dyDescent="0.25"/>
  <cols>
    <col min="1" max="1" width="11.6640625" style="1" customWidth="1"/>
    <col min="2" max="2" width="15" style="1" customWidth="1"/>
    <col min="3" max="3" width="18.44140625" style="1" customWidth="1"/>
    <col min="4" max="4" width="15.6640625" style="1" customWidth="1"/>
    <col min="5" max="5" width="14.44140625" style="1" customWidth="1"/>
    <col min="6" max="52" width="12.109375" style="1" customWidth="1"/>
    <col min="53" max="55" width="0" style="1" hidden="1" customWidth="1"/>
    <col min="56" max="16384" width="12.109375" style="1" hidden="1"/>
  </cols>
  <sheetData>
    <row r="1" spans="1:52" ht="14.7" customHeight="1" thickBot="1" x14ac:dyDescent="0.3">
      <c r="A1" s="3">
        <v>14</v>
      </c>
      <c r="B1" s="4"/>
      <c r="C1" s="5"/>
      <c r="D1" s="5"/>
      <c r="E1" s="5"/>
      <c r="F1" s="5"/>
      <c r="G1" s="6"/>
      <c r="H1" s="7"/>
      <c r="I1" s="7"/>
      <c r="J1" s="7"/>
      <c r="K1" s="7"/>
      <c r="L1" s="7"/>
      <c r="M1" s="7"/>
      <c r="N1" s="7"/>
      <c r="O1" s="7"/>
      <c r="P1" s="7"/>
      <c r="Q1" s="7"/>
      <c r="R1" s="7"/>
      <c r="S1" s="7"/>
      <c r="T1" s="7"/>
      <c r="U1" s="7"/>
      <c r="V1" s="7"/>
      <c r="W1" s="7"/>
    </row>
    <row r="2" spans="1:52" ht="14.7" customHeight="1" x14ac:dyDescent="0.25">
      <c r="A2" s="8" t="s">
        <v>4</v>
      </c>
      <c r="B2" s="9"/>
      <c r="C2" s="9"/>
      <c r="D2" s="9"/>
      <c r="E2" s="9"/>
      <c r="F2" s="9"/>
      <c r="G2" s="10"/>
      <c r="H2" s="7"/>
      <c r="I2" s="7"/>
      <c r="J2" s="7"/>
      <c r="K2" s="7"/>
      <c r="L2" s="7"/>
      <c r="M2" s="7"/>
      <c r="N2" s="7"/>
      <c r="O2" s="7"/>
      <c r="P2" s="7"/>
      <c r="Q2" s="7"/>
      <c r="R2" s="7"/>
      <c r="S2" s="7"/>
      <c r="T2" s="7"/>
      <c r="U2" s="7"/>
      <c r="V2" s="7"/>
      <c r="W2" s="7"/>
    </row>
    <row r="3" spans="1:52" ht="14.7" customHeight="1" x14ac:dyDescent="0.25">
      <c r="A3" s="11">
        <v>1.5</v>
      </c>
      <c r="B3" s="9"/>
      <c r="C3" s="9"/>
      <c r="D3" s="9"/>
      <c r="E3" s="9"/>
      <c r="F3" s="9"/>
      <c r="G3" s="10"/>
      <c r="H3" s="7"/>
      <c r="I3" s="7"/>
      <c r="J3" s="7"/>
      <c r="K3" s="7"/>
      <c r="L3" s="7"/>
      <c r="M3" s="7"/>
      <c r="N3" s="7"/>
      <c r="O3" s="7"/>
      <c r="P3" s="7"/>
      <c r="Q3" s="7"/>
      <c r="R3" s="7"/>
      <c r="S3" s="7"/>
      <c r="T3" s="7"/>
      <c r="U3" s="7"/>
      <c r="V3" s="7"/>
      <c r="W3" s="7"/>
    </row>
    <row r="4" spans="1:52" ht="14.7" customHeight="1" x14ac:dyDescent="0.25">
      <c r="A4" s="11"/>
      <c r="B4" s="9" t="s">
        <v>575</v>
      </c>
      <c r="C4" s="9"/>
      <c r="D4" s="9"/>
      <c r="E4" s="9"/>
      <c r="F4" s="9"/>
      <c r="G4" s="14"/>
      <c r="H4" s="7"/>
      <c r="I4" s="7"/>
      <c r="J4" s="7"/>
      <c r="K4" s="7"/>
      <c r="L4" s="7"/>
      <c r="M4" s="7"/>
      <c r="N4" s="7"/>
      <c r="O4" s="7"/>
      <c r="P4" s="7"/>
      <c r="Q4" s="7"/>
      <c r="R4" s="7"/>
      <c r="S4" s="7"/>
      <c r="T4" s="7"/>
      <c r="U4" s="7"/>
      <c r="V4" s="7"/>
      <c r="W4" s="7"/>
    </row>
    <row r="5" spans="1:52" ht="14.7" customHeight="1" thickBot="1" x14ac:dyDescent="0.3">
      <c r="A5" s="11"/>
      <c r="B5" s="9"/>
      <c r="C5" s="9"/>
      <c r="D5" s="9"/>
      <c r="E5" s="9"/>
      <c r="F5" s="9"/>
      <c r="G5" s="14"/>
      <c r="H5" s="7"/>
      <c r="I5" s="7"/>
      <c r="J5" s="7"/>
      <c r="K5" s="7"/>
      <c r="L5" s="7"/>
      <c r="M5" s="7"/>
      <c r="N5" s="7"/>
      <c r="O5" s="7"/>
      <c r="P5" s="7"/>
      <c r="Q5" s="7"/>
      <c r="R5" s="7"/>
      <c r="S5" s="7"/>
      <c r="T5" s="7"/>
      <c r="U5" s="7"/>
      <c r="V5" s="7"/>
      <c r="W5" s="7"/>
    </row>
    <row r="6" spans="1:52" ht="14.7" customHeight="1" x14ac:dyDescent="0.25">
      <c r="A6" s="11"/>
      <c r="B6" s="456">
        <v>250000</v>
      </c>
      <c r="C6" s="457" t="s">
        <v>576</v>
      </c>
      <c r="D6" s="458"/>
      <c r="E6" s="9"/>
      <c r="F6" s="9"/>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thickBot="1" x14ac:dyDescent="0.3">
      <c r="A8" s="11"/>
      <c r="B8" s="462">
        <v>0.9</v>
      </c>
      <c r="C8" s="463" t="s">
        <v>578</v>
      </c>
      <c r="D8" s="50"/>
      <c r="E8" s="9"/>
      <c r="F8" s="9"/>
      <c r="G8" s="10"/>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15"/>
      <c r="C9" s="464"/>
      <c r="D9" s="9"/>
      <c r="E9" s="9"/>
      <c r="F9" s="9"/>
      <c r="G9" s="10"/>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7" customHeight="1" x14ac:dyDescent="0.25">
      <c r="A10" s="11">
        <v>1</v>
      </c>
      <c r="B10" s="9" t="s">
        <v>10</v>
      </c>
      <c r="C10" s="9"/>
      <c r="D10" s="9"/>
      <c r="E10" s="9"/>
      <c r="F10" s="9"/>
      <c r="G10" s="10"/>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c r="B11" s="19" t="s">
        <v>581</v>
      </c>
      <c r="C11" s="9"/>
      <c r="D11" s="9"/>
      <c r="E11" s="9"/>
      <c r="F11" s="9"/>
      <c r="G11" s="10"/>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465" t="s">
        <v>18</v>
      </c>
      <c r="C13" s="466">
        <v>220000</v>
      </c>
      <c r="D13" s="9"/>
      <c r="E13" s="9"/>
      <c r="F13" s="9"/>
      <c r="G13" s="1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x14ac:dyDescent="0.25">
      <c r="A14" s="11"/>
      <c r="B14" s="465" t="s">
        <v>20</v>
      </c>
      <c r="C14" s="466">
        <v>250000</v>
      </c>
      <c r="D14" s="9"/>
      <c r="E14" s="9"/>
      <c r="F14" s="9"/>
      <c r="G14" s="10"/>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19"/>
      <c r="C15" s="9"/>
      <c r="D15" s="25"/>
      <c r="E15" s="25"/>
      <c r="F15" s="25"/>
      <c r="G15" s="26"/>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7" customHeight="1" x14ac:dyDescent="0.25">
      <c r="A16" s="11">
        <v>0.5</v>
      </c>
      <c r="B16" s="19" t="s">
        <v>1</v>
      </c>
      <c r="C16" s="9"/>
      <c r="D16" s="25"/>
      <c r="E16" s="25"/>
      <c r="F16" s="25"/>
      <c r="G16" s="26"/>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7" customHeight="1" x14ac:dyDescent="0.25">
      <c r="A17" s="467"/>
      <c r="B17" s="19" t="s">
        <v>582</v>
      </c>
      <c r="C17" s="9"/>
      <c r="D17" s="25"/>
      <c r="E17" s="25"/>
      <c r="F17" s="25"/>
      <c r="G17" s="26"/>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7" customHeight="1" thickBot="1" x14ac:dyDescent="0.3">
      <c r="A18" s="28"/>
      <c r="B18" s="29"/>
      <c r="C18" s="30"/>
      <c r="D18" s="31"/>
      <c r="E18" s="31"/>
      <c r="F18" s="31"/>
      <c r="G18" s="32"/>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7"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7" t="s">
        <v>280</v>
      </c>
      <c r="B20" s="7" t="s">
        <v>583</v>
      </c>
      <c r="C20" s="453">
        <f>B6</f>
        <v>250000</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7"/>
      <c r="B21" s="7" t="s">
        <v>584</v>
      </c>
      <c r="C21" s="453">
        <f>B7</f>
        <v>200000</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7"/>
      <c r="B22" s="7" t="s">
        <v>585</v>
      </c>
      <c r="C22" s="468">
        <f>B8</f>
        <v>0.9</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7"/>
      <c r="B24" s="7" t="s">
        <v>586</v>
      </c>
      <c r="C24" s="469">
        <f>C22*C20</f>
        <v>225000</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7" customHeight="1" x14ac:dyDescent="0.25">
      <c r="A26" s="7"/>
      <c r="B26" s="7" t="s">
        <v>280</v>
      </c>
      <c r="C26" s="470">
        <f>C21/C24</f>
        <v>0.88888888888888884</v>
      </c>
      <c r="D26" s="7"/>
      <c r="E26" s="7" t="s">
        <v>587</v>
      </c>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7" t="s">
        <v>588</v>
      </c>
      <c r="B29" s="7" t="s">
        <v>589</v>
      </c>
      <c r="C29" s="471">
        <f>C12</f>
        <v>50000</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7"/>
      <c r="B30" s="7" t="s">
        <v>590</v>
      </c>
      <c r="C30" s="472">
        <f>C29*C26</f>
        <v>44444.444444444445</v>
      </c>
      <c r="D30" s="7"/>
      <c r="E30" s="7" t="s">
        <v>591</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7" customHeight="1" x14ac:dyDescent="0.25">
      <c r="A32" s="7"/>
      <c r="B32" s="7" t="s">
        <v>592</v>
      </c>
      <c r="C32" s="472">
        <f>C29-C30</f>
        <v>5555.5555555555547</v>
      </c>
      <c r="D32" s="7"/>
      <c r="E32" s="473"/>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x14ac:dyDescent="0.25">
      <c r="A33" s="7"/>
      <c r="B33" s="7"/>
      <c r="C33" s="7"/>
      <c r="D33" s="7"/>
      <c r="E33" s="473"/>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t="s">
        <v>593</v>
      </c>
      <c r="B34" s="7" t="s">
        <v>589</v>
      </c>
      <c r="C34" s="471">
        <f>C13</f>
        <v>220000</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x14ac:dyDescent="0.25">
      <c r="A35" s="7"/>
      <c r="B35" s="7" t="s">
        <v>590</v>
      </c>
      <c r="C35" s="472">
        <f>C34*C26</f>
        <v>195555.55555555553</v>
      </c>
      <c r="D35" s="7"/>
      <c r="E35" s="7" t="s">
        <v>591</v>
      </c>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7" t="s">
        <v>592</v>
      </c>
      <c r="C37" s="472">
        <f>C21-C35</f>
        <v>4444.4444444444671</v>
      </c>
      <c r="D37" s="7"/>
      <c r="E37" s="472"/>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t="s">
        <v>594</v>
      </c>
      <c r="B39" s="7" t="s">
        <v>589</v>
      </c>
      <c r="C39" s="471">
        <f>C14</f>
        <v>250000</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t="s">
        <v>590</v>
      </c>
      <c r="C40" s="472">
        <f>C21</f>
        <v>200000</v>
      </c>
      <c r="D40" s="7"/>
      <c r="E40" s="7" t="s">
        <v>595</v>
      </c>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t="s">
        <v>592</v>
      </c>
      <c r="C42" s="7">
        <v>0</v>
      </c>
      <c r="D42" s="7"/>
      <c r="E42" s="7" t="s">
        <v>596</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t="s">
        <v>1</v>
      </c>
      <c r="B44" s="7" t="s">
        <v>597</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7" t="s">
        <v>598</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7" t="s">
        <v>599</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10" priority="1" operator="equal">
      <formula>"Review Later"</formula>
    </cfRule>
    <cfRule type="cellIs" dxfId="109" priority="2" operator="equal">
      <formula>"Finished"</formula>
    </cfRule>
    <cfRule type="cellIs" dxfId="108" priority="3" operator="equal">
      <formula>"Incomplete"</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C205"/>
  <sheetViews>
    <sheetView zoomScaleNormal="100" zoomScalePageLayoutView="90" workbookViewId="0"/>
  </sheetViews>
  <sheetFormatPr defaultColWidth="0" defaultRowHeight="0" customHeight="1" zeroHeight="1" x14ac:dyDescent="0.25"/>
  <cols>
    <col min="1" max="1" width="11.6640625" style="1" customWidth="1"/>
    <col min="2" max="2" width="15" style="1" customWidth="1"/>
    <col min="3" max="3" width="12.6640625" style="1" customWidth="1"/>
    <col min="4" max="4" width="15.6640625" style="1" customWidth="1"/>
    <col min="5" max="5" width="12.33203125" style="1" customWidth="1"/>
    <col min="6" max="52" width="12.109375" style="1" customWidth="1"/>
    <col min="53" max="55" width="0" style="1" hidden="1" customWidth="1"/>
    <col min="56" max="16384" width="12.109375" style="1" hidden="1"/>
  </cols>
  <sheetData>
    <row r="1" spans="1:52" ht="14.7" customHeight="1" thickBot="1" x14ac:dyDescent="0.3">
      <c r="A1" s="3">
        <v>14</v>
      </c>
      <c r="B1" s="4"/>
      <c r="C1" s="5"/>
      <c r="D1" s="5"/>
      <c r="E1" s="5"/>
      <c r="F1" s="5"/>
      <c r="G1" s="6"/>
      <c r="H1" s="7"/>
      <c r="I1" s="7"/>
      <c r="J1" s="474"/>
      <c r="K1" s="7"/>
      <c r="L1" s="7"/>
      <c r="M1" s="7"/>
      <c r="N1" s="7"/>
      <c r="O1" s="7"/>
      <c r="P1" s="7"/>
      <c r="Q1" s="7"/>
      <c r="R1" s="7"/>
      <c r="S1" s="7"/>
      <c r="T1" s="7"/>
      <c r="U1" s="7"/>
      <c r="V1" s="7"/>
      <c r="W1" s="7"/>
    </row>
    <row r="2" spans="1:52" ht="14.7" customHeight="1" x14ac:dyDescent="0.25">
      <c r="A2" s="8" t="s">
        <v>4</v>
      </c>
      <c r="B2" s="9"/>
      <c r="C2" s="9"/>
      <c r="D2" s="9"/>
      <c r="E2" s="9"/>
      <c r="F2" s="9"/>
      <c r="G2" s="10"/>
      <c r="H2" s="7"/>
      <c r="I2" s="7"/>
      <c r="J2" s="7"/>
      <c r="K2" s="7"/>
      <c r="L2" s="7"/>
      <c r="M2" s="7"/>
      <c r="N2" s="7"/>
      <c r="O2" s="7"/>
      <c r="P2" s="7"/>
      <c r="Q2" s="7"/>
      <c r="R2" s="7"/>
      <c r="S2" s="7"/>
      <c r="T2" s="7"/>
      <c r="U2" s="7"/>
      <c r="V2" s="7"/>
      <c r="W2" s="7"/>
    </row>
    <row r="3" spans="1:52" ht="14.7" customHeight="1" x14ac:dyDescent="0.25">
      <c r="A3" s="11">
        <v>1.5</v>
      </c>
      <c r="B3" s="9"/>
      <c r="C3" s="9"/>
      <c r="D3" s="9"/>
      <c r="E3" s="9"/>
      <c r="F3" s="9"/>
      <c r="G3" s="10"/>
      <c r="H3" s="7"/>
      <c r="I3" s="7" t="s">
        <v>280</v>
      </c>
      <c r="J3" s="7" t="s">
        <v>600</v>
      </c>
      <c r="K3" s="7">
        <f>MIN(B7/(B6*B8),1)</f>
        <v>0.88888888888888884</v>
      </c>
      <c r="L3" s="7"/>
      <c r="M3" s="7"/>
      <c r="N3" s="7"/>
      <c r="O3" s="7"/>
      <c r="P3" s="7"/>
      <c r="Q3" s="7"/>
      <c r="R3" s="7"/>
      <c r="S3" s="7"/>
      <c r="T3" s="7"/>
      <c r="U3" s="7"/>
      <c r="V3" s="7"/>
      <c r="W3" s="7"/>
    </row>
    <row r="4" spans="1:52" ht="14.7" customHeight="1" x14ac:dyDescent="0.25">
      <c r="A4" s="11"/>
      <c r="B4" s="9" t="s">
        <v>575</v>
      </c>
      <c r="C4" s="9"/>
      <c r="D4" s="9"/>
      <c r="E4" s="9"/>
      <c r="F4" s="9"/>
      <c r="G4" s="14"/>
      <c r="H4" s="7" t="s">
        <v>107</v>
      </c>
      <c r="I4" s="465" t="s">
        <v>16</v>
      </c>
      <c r="J4" s="466">
        <v>50000</v>
      </c>
      <c r="K4" s="7"/>
      <c r="L4" s="7"/>
      <c r="M4" s="7"/>
      <c r="N4" s="7"/>
      <c r="O4" s="7"/>
      <c r="P4" s="7"/>
      <c r="Q4" s="7"/>
      <c r="R4" s="7"/>
      <c r="S4" s="7"/>
      <c r="T4" s="7"/>
      <c r="U4" s="7"/>
      <c r="V4" s="7"/>
      <c r="W4" s="7"/>
    </row>
    <row r="5" spans="1:52" ht="14.7" customHeight="1" thickBot="1" x14ac:dyDescent="0.3">
      <c r="A5" s="11"/>
      <c r="B5" s="9"/>
      <c r="C5" s="9"/>
      <c r="D5" s="9"/>
      <c r="E5" s="9"/>
      <c r="F5" s="9"/>
      <c r="G5" s="14"/>
      <c r="H5" s="7"/>
      <c r="I5" s="7" t="s">
        <v>590</v>
      </c>
      <c r="J5" s="7" t="s">
        <v>600</v>
      </c>
      <c r="K5" s="472">
        <f>K3*C12</f>
        <v>44444.444444444445</v>
      </c>
      <c r="L5" s="7"/>
      <c r="M5" s="7"/>
      <c r="N5" s="7"/>
      <c r="O5" s="7"/>
      <c r="P5" s="7"/>
      <c r="Q5" s="7"/>
      <c r="R5" s="7"/>
      <c r="S5" s="7"/>
      <c r="T5" s="7"/>
      <c r="U5" s="7"/>
      <c r="V5" s="7"/>
      <c r="W5" s="7"/>
    </row>
    <row r="6" spans="1:52" ht="14.7" customHeight="1" x14ac:dyDescent="0.25">
      <c r="A6" s="11"/>
      <c r="B6" s="456">
        <v>250000</v>
      </c>
      <c r="C6" s="457" t="s">
        <v>576</v>
      </c>
      <c r="D6" s="458"/>
      <c r="E6" s="9"/>
      <c r="F6" s="9"/>
      <c r="G6" s="14"/>
      <c r="H6" s="7"/>
      <c r="I6" s="475" t="s">
        <v>601</v>
      </c>
      <c r="J6" s="475" t="s">
        <v>600</v>
      </c>
      <c r="K6" s="476">
        <f>C12-K5</f>
        <v>5555.5555555555547</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x14ac:dyDescent="0.25">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thickBot="1" x14ac:dyDescent="0.3">
      <c r="A8" s="11"/>
      <c r="B8" s="462">
        <v>0.9</v>
      </c>
      <c r="C8" s="463" t="s">
        <v>578</v>
      </c>
      <c r="D8" s="50"/>
      <c r="E8" s="9"/>
      <c r="F8" s="9"/>
      <c r="G8" s="10"/>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7" customHeight="1" x14ac:dyDescent="0.25">
      <c r="A9" s="11"/>
      <c r="B9" s="15"/>
      <c r="C9" s="464"/>
      <c r="D9" s="9"/>
      <c r="E9" s="9"/>
      <c r="F9" s="9"/>
      <c r="G9" s="10"/>
      <c r="H9" s="7"/>
      <c r="I9" s="465" t="s">
        <v>18</v>
      </c>
      <c r="J9" s="466">
        <v>220000</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7" customHeight="1" x14ac:dyDescent="0.25">
      <c r="A10" s="11">
        <v>1</v>
      </c>
      <c r="B10" s="9" t="s">
        <v>10</v>
      </c>
      <c r="C10" s="9"/>
      <c r="D10" s="9"/>
      <c r="E10" s="9"/>
      <c r="F10" s="9"/>
      <c r="G10" s="10"/>
      <c r="H10" s="7"/>
      <c r="I10" s="7" t="s">
        <v>590</v>
      </c>
      <c r="J10" s="7" t="s">
        <v>600</v>
      </c>
      <c r="K10" s="7">
        <f>MIN(K3*J9,B7)</f>
        <v>195555.55555555553</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7" customHeight="1" x14ac:dyDescent="0.25">
      <c r="A11" s="11"/>
      <c r="B11" s="19" t="s">
        <v>581</v>
      </c>
      <c r="C11" s="9"/>
      <c r="D11" s="9"/>
      <c r="E11" s="9"/>
      <c r="F11" s="9"/>
      <c r="G11" s="10"/>
      <c r="H11" s="7"/>
      <c r="I11" s="475" t="s">
        <v>601</v>
      </c>
      <c r="J11" s="475" t="s">
        <v>600</v>
      </c>
      <c r="K11" s="477">
        <f>B7-K10</f>
        <v>4444.4444444444671</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7" customHeight="1" x14ac:dyDescent="0.25">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7" customHeight="1" x14ac:dyDescent="0.25">
      <c r="A13" s="11"/>
      <c r="B13" s="465" t="s">
        <v>18</v>
      </c>
      <c r="C13" s="466">
        <v>220000</v>
      </c>
      <c r="D13" s="9"/>
      <c r="E13" s="9"/>
      <c r="F13" s="9"/>
      <c r="G13" s="10"/>
      <c r="H13" s="7"/>
      <c r="I13" s="465" t="s">
        <v>20</v>
      </c>
      <c r="J13" s="466">
        <v>250000</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x14ac:dyDescent="0.25">
      <c r="A14" s="11"/>
      <c r="B14" s="465" t="s">
        <v>20</v>
      </c>
      <c r="C14" s="466">
        <v>250000</v>
      </c>
      <c r="D14" s="9"/>
      <c r="E14" s="9"/>
      <c r="F14" s="9"/>
      <c r="G14" s="10"/>
      <c r="H14" s="7"/>
      <c r="I14" s="7" t="s">
        <v>602</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19"/>
      <c r="C15" s="9"/>
      <c r="D15" s="25"/>
      <c r="E15" s="25"/>
      <c r="F15" s="25"/>
      <c r="G15" s="26"/>
      <c r="H15" s="17"/>
      <c r="I15" s="478" t="s">
        <v>601</v>
      </c>
      <c r="J15" s="478" t="s">
        <v>600</v>
      </c>
      <c r="K15" s="478">
        <v>0</v>
      </c>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7" customHeight="1" x14ac:dyDescent="0.25">
      <c r="A16" s="11">
        <v>0.5</v>
      </c>
      <c r="B16" s="19" t="s">
        <v>1</v>
      </c>
      <c r="C16" s="9"/>
      <c r="D16" s="25"/>
      <c r="E16" s="25"/>
      <c r="F16" s="25"/>
      <c r="G16" s="26"/>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7" customHeight="1" x14ac:dyDescent="0.25">
      <c r="A17" s="467"/>
      <c r="B17" s="19" t="s">
        <v>582</v>
      </c>
      <c r="C17" s="9"/>
      <c r="D17" s="25"/>
      <c r="E17" s="25"/>
      <c r="F17" s="25"/>
      <c r="G17" s="26"/>
      <c r="H17" s="7" t="s">
        <v>603</v>
      </c>
      <c r="I17" s="7" t="s">
        <v>604</v>
      </c>
      <c r="J17" s="7"/>
      <c r="K17" s="7"/>
      <c r="L17" s="7"/>
      <c r="M17" s="7"/>
      <c r="N17" s="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7" customHeight="1" thickBot="1" x14ac:dyDescent="0.3">
      <c r="A18" s="28"/>
      <c r="B18" s="29"/>
      <c r="C18" s="30"/>
      <c r="D18" s="31"/>
      <c r="E18" s="31"/>
      <c r="F18" s="31"/>
      <c r="G18" s="32"/>
      <c r="H18" s="7"/>
      <c r="I18" s="7"/>
      <c r="J18" s="7"/>
      <c r="K18" s="7"/>
      <c r="L18" s="7"/>
      <c r="M18" s="7"/>
      <c r="N18" s="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7" customHeight="1" x14ac:dyDescent="0.25">
      <c r="A19" s="7"/>
      <c r="B19" s="7"/>
      <c r="C19" s="7"/>
      <c r="D19" s="7"/>
      <c r="E19" s="7"/>
      <c r="F19" s="7"/>
      <c r="G19" s="7"/>
      <c r="H19" s="7"/>
      <c r="I19" s="7" t="s">
        <v>605</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7"/>
      <c r="B20" s="7"/>
      <c r="C20" s="7"/>
      <c r="D20" s="7"/>
      <c r="E20" s="7"/>
      <c r="F20" s="7"/>
      <c r="G20" s="7"/>
      <c r="H20" s="7"/>
      <c r="I20" s="7" t="s">
        <v>606</v>
      </c>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7"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7"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107" priority="1" operator="equal">
      <formula>"Review Later"</formula>
    </cfRule>
    <cfRule type="cellIs" dxfId="106" priority="2" operator="equal">
      <formula>"Finished"</formula>
    </cfRule>
    <cfRule type="cellIs" dxfId="105" priority="3" operator="equal">
      <formula>"Incomplete"</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C216"/>
  <sheetViews>
    <sheetView zoomScaleNormal="100" workbookViewId="0"/>
  </sheetViews>
  <sheetFormatPr defaultColWidth="0" defaultRowHeight="13.8" zeroHeight="1" x14ac:dyDescent="0.25"/>
  <cols>
    <col min="1" max="1" width="11.6640625" style="21" customWidth="1"/>
    <col min="2" max="2" width="14.44140625" style="21" customWidth="1"/>
    <col min="3" max="3" width="17.33203125" style="21" customWidth="1"/>
    <col min="4" max="4" width="19.44140625" style="21" customWidth="1"/>
    <col min="5" max="5" width="14.44140625" style="21" customWidth="1"/>
    <col min="6" max="6" width="13.109375" style="21" customWidth="1"/>
    <col min="7" max="7" width="10.6640625" style="21" bestFit="1" customWidth="1"/>
    <col min="8" max="8" width="18.88671875" style="21" customWidth="1"/>
    <col min="9" max="9" width="16.6640625" style="21" customWidth="1"/>
    <col min="10" max="10" width="14.109375" style="479" customWidth="1"/>
    <col min="11" max="52" width="10.6640625" style="21" customWidth="1"/>
    <col min="53" max="55" width="0" style="21" hidden="1" customWidth="1"/>
    <col min="56" max="16384" width="10.6640625" style="21" hidden="1"/>
  </cols>
  <sheetData>
    <row r="1" spans="1:52" ht="14.4" thickBot="1" x14ac:dyDescent="0.3">
      <c r="A1" s="3">
        <v>15</v>
      </c>
      <c r="B1" s="4"/>
      <c r="C1" s="246"/>
      <c r="D1" s="246"/>
      <c r="E1" s="246"/>
      <c r="F1" s="246"/>
      <c r="G1" s="247"/>
      <c r="H1" s="20" t="s">
        <v>0</v>
      </c>
      <c r="I1" s="20"/>
      <c r="J1" s="480"/>
      <c r="K1" s="20"/>
      <c r="L1" s="20"/>
      <c r="M1" s="20"/>
      <c r="N1" s="20"/>
      <c r="O1" s="20"/>
      <c r="P1" s="20"/>
      <c r="Q1" s="20"/>
      <c r="R1" s="20"/>
      <c r="S1" s="20"/>
      <c r="T1" s="20"/>
      <c r="U1" s="20"/>
      <c r="V1" s="20"/>
      <c r="W1" s="20"/>
    </row>
    <row r="2" spans="1:52" x14ac:dyDescent="0.25">
      <c r="A2" s="8" t="s">
        <v>4</v>
      </c>
      <c r="B2" s="374"/>
      <c r="C2" s="374"/>
      <c r="D2" s="374"/>
      <c r="E2" s="374"/>
      <c r="F2" s="374"/>
      <c r="G2" s="375"/>
      <c r="H2" s="20"/>
      <c r="I2" s="20" t="s">
        <v>607</v>
      </c>
      <c r="J2" s="480">
        <f>C10</f>
        <v>30000</v>
      </c>
      <c r="K2" s="20"/>
      <c r="L2" s="20"/>
      <c r="M2" s="20"/>
      <c r="N2" s="20"/>
      <c r="O2" s="20"/>
      <c r="P2" s="20"/>
      <c r="Q2" s="20"/>
      <c r="R2" s="20"/>
      <c r="S2" s="20"/>
      <c r="T2" s="20"/>
      <c r="U2" s="20"/>
      <c r="V2" s="20"/>
      <c r="W2" s="20"/>
    </row>
    <row r="3" spans="1:52" x14ac:dyDescent="0.25">
      <c r="A3" s="11">
        <v>2.75</v>
      </c>
      <c r="B3" s="9"/>
      <c r="C3" s="374"/>
      <c r="D3" s="374"/>
      <c r="E3" s="374"/>
      <c r="F3" s="374"/>
      <c r="G3" s="375"/>
      <c r="H3" s="20"/>
      <c r="I3" s="20" t="s">
        <v>608</v>
      </c>
      <c r="J3" s="480">
        <f>D10</f>
        <v>260000</v>
      </c>
      <c r="K3" s="20"/>
      <c r="L3" s="20"/>
      <c r="M3" s="20"/>
      <c r="N3" s="20"/>
      <c r="O3" s="20"/>
      <c r="P3" s="20"/>
      <c r="Q3" s="20"/>
      <c r="R3" s="20"/>
      <c r="S3" s="20"/>
      <c r="T3" s="20"/>
      <c r="U3" s="20"/>
      <c r="V3" s="20"/>
      <c r="W3" s="20"/>
    </row>
    <row r="4" spans="1:52" x14ac:dyDescent="0.25">
      <c r="A4" s="11"/>
      <c r="B4" s="270" t="s">
        <v>609</v>
      </c>
      <c r="C4" s="481"/>
      <c r="D4" s="481"/>
      <c r="E4" s="270"/>
      <c r="F4" s="374"/>
      <c r="G4" s="375"/>
      <c r="H4" s="20"/>
      <c r="I4" s="20" t="s">
        <v>610</v>
      </c>
      <c r="J4" s="480">
        <f>E10/100*B12*(1-B13)</f>
        <v>163930</v>
      </c>
      <c r="K4" s="20"/>
      <c r="L4" s="20"/>
      <c r="M4" s="20"/>
      <c r="N4" s="20"/>
      <c r="O4" s="20"/>
      <c r="P4" s="20"/>
      <c r="Q4" s="20"/>
      <c r="R4" s="20"/>
      <c r="S4" s="20"/>
      <c r="T4" s="20"/>
      <c r="U4" s="20"/>
      <c r="V4" s="20"/>
      <c r="W4" s="20"/>
    </row>
    <row r="5" spans="1:52" ht="14.4" thickBot="1" x14ac:dyDescent="0.3">
      <c r="A5" s="11"/>
      <c r="B5" s="270"/>
      <c r="C5" s="481"/>
      <c r="D5" s="481"/>
      <c r="E5" s="270"/>
      <c r="F5" s="374"/>
      <c r="G5" s="375"/>
      <c r="H5" s="20"/>
      <c r="I5" s="20" t="s">
        <v>611</v>
      </c>
      <c r="J5" s="480">
        <f>E10/100*B12</f>
        <v>204912.5</v>
      </c>
      <c r="K5" s="20"/>
      <c r="L5" s="20"/>
      <c r="M5" s="20"/>
      <c r="N5" s="20"/>
      <c r="O5" s="20"/>
      <c r="P5" s="20"/>
      <c r="Q5" s="20"/>
      <c r="R5" s="20"/>
      <c r="S5" s="20"/>
      <c r="T5" s="20"/>
      <c r="U5" s="20"/>
      <c r="V5" s="20"/>
      <c r="W5" s="20"/>
    </row>
    <row r="6" spans="1:52" ht="28.2" thickBot="1" x14ac:dyDescent="0.3">
      <c r="A6" s="11"/>
      <c r="B6" s="482" t="s">
        <v>612</v>
      </c>
      <c r="C6" s="483" t="s">
        <v>613</v>
      </c>
      <c r="D6" s="483" t="s">
        <v>614</v>
      </c>
      <c r="E6" s="484" t="s">
        <v>615</v>
      </c>
      <c r="F6" s="374"/>
      <c r="G6" s="375"/>
      <c r="H6" s="20" t="s">
        <v>616</v>
      </c>
      <c r="I6" s="396">
        <f>((J2+B15*J3+(1-B15)*J4+B14)/(B14+J5))</f>
        <v>1.0728362170162813</v>
      </c>
      <c r="J6" s="48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x14ac:dyDescent="0.25">
      <c r="A7" s="11"/>
      <c r="B7" s="485">
        <v>2015</v>
      </c>
      <c r="C7" s="486">
        <v>10000</v>
      </c>
      <c r="D7" s="486">
        <v>120000</v>
      </c>
      <c r="E7" s="487">
        <v>2000000</v>
      </c>
      <c r="F7" s="374"/>
      <c r="G7" s="375"/>
      <c r="H7" s="20"/>
      <c r="I7" s="20"/>
      <c r="J7" s="48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x14ac:dyDescent="0.25">
      <c r="A8" s="11"/>
      <c r="B8" s="488">
        <v>2016</v>
      </c>
      <c r="C8" s="489">
        <v>10000</v>
      </c>
      <c r="D8" s="489">
        <v>80000</v>
      </c>
      <c r="E8" s="490">
        <v>2100000</v>
      </c>
      <c r="F8" s="374"/>
      <c r="G8" s="375"/>
      <c r="H8" s="20"/>
      <c r="I8" s="20"/>
      <c r="J8" s="48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x14ac:dyDescent="0.25">
      <c r="A9" s="11"/>
      <c r="B9" s="488">
        <v>2017</v>
      </c>
      <c r="C9" s="489">
        <v>10000</v>
      </c>
      <c r="D9" s="489">
        <v>60000</v>
      </c>
      <c r="E9" s="490">
        <v>2205000</v>
      </c>
      <c r="F9" s="374"/>
      <c r="G9" s="375"/>
      <c r="H9" s="20"/>
      <c r="I9" s="20"/>
      <c r="J9" s="48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 thickBot="1" x14ac:dyDescent="0.3">
      <c r="A10" s="11"/>
      <c r="B10" s="491" t="s">
        <v>323</v>
      </c>
      <c r="C10" s="492">
        <v>30000</v>
      </c>
      <c r="D10" s="492">
        <v>260000</v>
      </c>
      <c r="E10" s="493">
        <v>6305000</v>
      </c>
      <c r="F10" s="374"/>
      <c r="G10" s="375"/>
      <c r="H10" s="20" t="s">
        <v>1</v>
      </c>
      <c r="I10" s="20" t="s">
        <v>617</v>
      </c>
      <c r="J10" s="48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thickBot="1" x14ac:dyDescent="0.3">
      <c r="A11" s="11"/>
      <c r="B11" s="494"/>
      <c r="C11" s="495"/>
      <c r="D11" s="495"/>
      <c r="E11" s="495"/>
      <c r="F11" s="374"/>
      <c r="G11" s="375"/>
      <c r="H11" s="20"/>
      <c r="I11" s="306">
        <f>(B20-(B21*(B18-1))+((B24-B25)*B21*B18))*B23</f>
        <v>359599.99999999994</v>
      </c>
      <c r="J11" s="48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x14ac:dyDescent="0.25">
      <c r="A12" s="11"/>
      <c r="B12" s="496">
        <v>3.25</v>
      </c>
      <c r="C12" s="497" t="s">
        <v>618</v>
      </c>
      <c r="D12" s="498"/>
      <c r="E12" s="246"/>
      <c r="F12" s="499"/>
      <c r="G12" s="375"/>
      <c r="H12" s="20"/>
      <c r="I12" s="20"/>
      <c r="J12" s="48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x14ac:dyDescent="0.25">
      <c r="A13" s="11"/>
      <c r="B13" s="500">
        <v>0.2</v>
      </c>
      <c r="C13" s="501" t="s">
        <v>619</v>
      </c>
      <c r="D13" s="502"/>
      <c r="E13" s="270"/>
      <c r="F13" s="375"/>
      <c r="G13" s="375"/>
      <c r="H13" s="20"/>
      <c r="I13" s="20" t="s">
        <v>620</v>
      </c>
      <c r="J13" s="48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x14ac:dyDescent="0.25">
      <c r="A14" s="11"/>
      <c r="B14" s="503">
        <v>40000</v>
      </c>
      <c r="C14" s="501" t="s">
        <v>621</v>
      </c>
      <c r="D14" s="502"/>
      <c r="E14" s="270"/>
      <c r="F14" s="375"/>
      <c r="G14" s="375"/>
      <c r="H14" s="20"/>
      <c r="I14" s="20">
        <f>B26*B18</f>
        <v>220000.00000000003</v>
      </c>
      <c r="J14" s="48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x14ac:dyDescent="0.25">
      <c r="A15" s="11"/>
      <c r="B15" s="500">
        <v>0.3</v>
      </c>
      <c r="C15" s="501" t="s">
        <v>622</v>
      </c>
      <c r="D15" s="502"/>
      <c r="E15" s="270"/>
      <c r="F15" s="375"/>
      <c r="G15" s="375"/>
      <c r="H15" s="20"/>
      <c r="I15" s="20"/>
      <c r="J15" s="48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x14ac:dyDescent="0.25">
      <c r="A16" s="11"/>
      <c r="B16" s="504">
        <v>0.7</v>
      </c>
      <c r="C16" s="505" t="s">
        <v>623</v>
      </c>
      <c r="D16" s="505"/>
      <c r="E16" s="505"/>
      <c r="F16" s="271"/>
      <c r="G16" s="375"/>
      <c r="H16" s="20" t="s">
        <v>624</v>
      </c>
      <c r="I16" s="480">
        <f>(I11+I14)*B22</f>
        <v>608580</v>
      </c>
      <c r="J16" s="48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x14ac:dyDescent="0.25">
      <c r="A17" s="11"/>
      <c r="B17" s="500">
        <v>1.3</v>
      </c>
      <c r="C17" s="506" t="s">
        <v>625</v>
      </c>
      <c r="D17" s="506"/>
      <c r="E17" s="506"/>
      <c r="F17" s="271"/>
      <c r="G17" s="375"/>
      <c r="H17" s="20" t="s">
        <v>626</v>
      </c>
      <c r="I17" s="480">
        <f>B23*B16</f>
        <v>560000</v>
      </c>
      <c r="J17" s="48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x14ac:dyDescent="0.25">
      <c r="A18" s="11"/>
      <c r="B18" s="500">
        <v>1.1000000000000001</v>
      </c>
      <c r="C18" s="506" t="s">
        <v>627</v>
      </c>
      <c r="D18" s="506"/>
      <c r="E18" s="506"/>
      <c r="F18" s="271"/>
      <c r="G18" s="375"/>
      <c r="H18" s="20" t="s">
        <v>628</v>
      </c>
      <c r="I18" s="480">
        <f>B23*B17</f>
        <v>1040000</v>
      </c>
      <c r="J18" s="48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x14ac:dyDescent="0.25">
      <c r="A19" s="11"/>
      <c r="B19" s="507">
        <v>100000</v>
      </c>
      <c r="C19" s="506" t="s">
        <v>629</v>
      </c>
      <c r="D19" s="506"/>
      <c r="E19" s="506"/>
      <c r="F19" s="271"/>
      <c r="G19" s="375"/>
      <c r="H19" s="20"/>
      <c r="I19" s="20"/>
      <c r="J19" s="48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x14ac:dyDescent="0.25">
      <c r="A20" s="11"/>
      <c r="B20" s="500">
        <v>0.25</v>
      </c>
      <c r="C20" s="508" t="s">
        <v>630</v>
      </c>
      <c r="D20" s="508"/>
      <c r="E20" s="508"/>
      <c r="F20" s="271"/>
      <c r="G20" s="375"/>
      <c r="H20" s="20"/>
      <c r="I20" s="20"/>
      <c r="J20" s="48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x14ac:dyDescent="0.25">
      <c r="A21" s="11"/>
      <c r="B21" s="500">
        <v>0.7</v>
      </c>
      <c r="C21" s="508" t="s">
        <v>631</v>
      </c>
      <c r="D21" s="508"/>
      <c r="E21" s="508"/>
      <c r="F21" s="271"/>
      <c r="G21" s="375"/>
      <c r="H21" s="20" t="s">
        <v>632</v>
      </c>
      <c r="I21" s="509">
        <f>I16</f>
        <v>608580</v>
      </c>
      <c r="J21" s="48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x14ac:dyDescent="0.25">
      <c r="A22" s="11"/>
      <c r="B22" s="500">
        <v>1.05</v>
      </c>
      <c r="C22" s="508" t="s">
        <v>633</v>
      </c>
      <c r="D22" s="508"/>
      <c r="E22" s="508"/>
      <c r="F22" s="271"/>
      <c r="G22" s="375"/>
      <c r="H22" s="20"/>
      <c r="I22" s="20"/>
      <c r="J22" s="48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11"/>
      <c r="B23" s="507">
        <v>800000</v>
      </c>
      <c r="C23" s="508" t="s">
        <v>634</v>
      </c>
      <c r="D23" s="508"/>
      <c r="E23" s="508"/>
      <c r="F23" s="271"/>
      <c r="G23" s="375"/>
      <c r="H23" s="20"/>
      <c r="I23" s="20"/>
      <c r="J23" s="48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x14ac:dyDescent="0.25">
      <c r="A24" s="374"/>
      <c r="B24" s="500">
        <v>0.4</v>
      </c>
      <c r="C24" s="508" t="s">
        <v>635</v>
      </c>
      <c r="D24" s="508"/>
      <c r="E24" s="508"/>
      <c r="F24" s="271"/>
      <c r="G24" s="375"/>
      <c r="H24" s="20"/>
      <c r="I24" s="20"/>
      <c r="J24" s="48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x14ac:dyDescent="0.25">
      <c r="A25" s="374"/>
      <c r="B25" s="500">
        <v>0.05</v>
      </c>
      <c r="C25" s="508" t="s">
        <v>636</v>
      </c>
      <c r="D25" s="508"/>
      <c r="E25" s="508"/>
      <c r="F25" s="271"/>
      <c r="G25" s="375"/>
      <c r="H25" s="20"/>
      <c r="I25" s="20"/>
      <c r="J25" s="48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 thickBot="1" x14ac:dyDescent="0.3">
      <c r="A26" s="374"/>
      <c r="B26" s="510">
        <v>200000</v>
      </c>
      <c r="C26" s="511" t="s">
        <v>637</v>
      </c>
      <c r="D26" s="511"/>
      <c r="E26" s="511"/>
      <c r="F26" s="280"/>
      <c r="G26" s="375"/>
      <c r="H26" s="20"/>
      <c r="I26" s="20"/>
      <c r="J26" s="48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x14ac:dyDescent="0.25">
      <c r="A27" s="374"/>
      <c r="B27" s="374"/>
      <c r="C27" s="374"/>
      <c r="D27" s="374"/>
      <c r="E27" s="374"/>
      <c r="F27" s="374"/>
      <c r="G27" s="375"/>
      <c r="H27" s="20"/>
      <c r="I27" s="20"/>
      <c r="J27" s="48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x14ac:dyDescent="0.25">
      <c r="A28" s="11">
        <v>1.25</v>
      </c>
      <c r="B28" s="512" t="s">
        <v>0</v>
      </c>
      <c r="C28" s="512"/>
      <c r="D28" s="512"/>
      <c r="E28" s="512"/>
      <c r="F28" s="374"/>
      <c r="G28" s="375"/>
      <c r="H28" s="20"/>
      <c r="I28" s="20"/>
      <c r="J28" s="48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x14ac:dyDescent="0.25">
      <c r="A29" s="11"/>
      <c r="B29" s="270" t="s">
        <v>638</v>
      </c>
      <c r="C29" s="512"/>
      <c r="D29" s="512"/>
      <c r="E29" s="512"/>
      <c r="F29" s="374"/>
      <c r="G29" s="375"/>
      <c r="H29" s="20"/>
      <c r="I29" s="20"/>
      <c r="J29" s="48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x14ac:dyDescent="0.25">
      <c r="A30" s="11"/>
      <c r="B30" s="270"/>
      <c r="C30" s="512"/>
      <c r="D30" s="512"/>
      <c r="E30" s="512"/>
      <c r="F30" s="374"/>
      <c r="G30" s="375"/>
      <c r="H30" s="20"/>
      <c r="I30" s="20"/>
      <c r="J30" s="48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x14ac:dyDescent="0.25">
      <c r="A31" s="11">
        <v>1.5</v>
      </c>
      <c r="B31" s="374" t="s">
        <v>1</v>
      </c>
      <c r="C31" s="374"/>
      <c r="D31" s="374"/>
      <c r="E31" s="374"/>
      <c r="F31" s="374"/>
      <c r="G31" s="375"/>
      <c r="H31" s="20"/>
      <c r="I31" s="20"/>
      <c r="J31" s="48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x14ac:dyDescent="0.25">
      <c r="A32" s="11"/>
      <c r="B32" s="270" t="s">
        <v>639</v>
      </c>
      <c r="C32" s="481"/>
      <c r="D32" s="481"/>
      <c r="E32" s="270"/>
      <c r="F32" s="374"/>
      <c r="G32" s="375"/>
      <c r="H32" s="20"/>
      <c r="I32" s="20"/>
      <c r="J32" s="48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 thickBot="1" x14ac:dyDescent="0.3">
      <c r="A33" s="28"/>
      <c r="B33" s="423"/>
      <c r="C33" s="423"/>
      <c r="D33" s="423"/>
      <c r="E33" s="423"/>
      <c r="F33" s="423"/>
      <c r="G33" s="424"/>
      <c r="H33" s="20"/>
      <c r="I33" s="20"/>
      <c r="J33" s="48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x14ac:dyDescent="0.25">
      <c r="A34" s="20"/>
      <c r="B34" s="20"/>
      <c r="C34" s="20"/>
      <c r="D34" s="20"/>
      <c r="E34" s="20"/>
      <c r="F34" s="20"/>
      <c r="G34" s="20"/>
      <c r="H34" s="20"/>
      <c r="I34" s="20"/>
      <c r="J34" s="48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x14ac:dyDescent="0.25">
      <c r="A35" s="20"/>
      <c r="B35" s="20"/>
      <c r="C35" s="20"/>
      <c r="D35" s="20"/>
      <c r="E35" s="20"/>
      <c r="F35" s="20"/>
      <c r="G35" s="20"/>
      <c r="H35" s="20"/>
      <c r="I35" s="20"/>
      <c r="J35" s="48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x14ac:dyDescent="0.25">
      <c r="A36" s="20"/>
      <c r="B36" s="20"/>
      <c r="C36" s="20"/>
      <c r="D36" s="20"/>
      <c r="E36" s="20"/>
      <c r="F36" s="20"/>
      <c r="G36" s="20"/>
      <c r="H36" s="20"/>
      <c r="I36" s="20"/>
      <c r="J36" s="48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x14ac:dyDescent="0.25">
      <c r="A37" s="20"/>
      <c r="B37" s="20"/>
      <c r="C37" s="20"/>
      <c r="D37" s="20"/>
      <c r="E37" s="20"/>
      <c r="F37" s="20"/>
      <c r="G37" s="20"/>
      <c r="H37" s="20"/>
      <c r="I37" s="20"/>
      <c r="J37" s="48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x14ac:dyDescent="0.25">
      <c r="A38" s="20"/>
      <c r="B38" s="20"/>
      <c r="C38" s="20"/>
      <c r="D38" s="20"/>
      <c r="E38" s="20"/>
      <c r="F38" s="20"/>
      <c r="G38" s="20"/>
      <c r="H38" s="20"/>
      <c r="I38" s="20"/>
      <c r="J38" s="48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x14ac:dyDescent="0.25">
      <c r="A39" s="20"/>
      <c r="B39" s="20"/>
      <c r="C39" s="20"/>
      <c r="D39" s="20"/>
      <c r="E39" s="20"/>
      <c r="F39" s="20"/>
      <c r="G39" s="20"/>
      <c r="H39" s="20"/>
      <c r="I39" s="20"/>
      <c r="J39" s="48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x14ac:dyDescent="0.25">
      <c r="A40" s="20"/>
      <c r="B40" s="20"/>
      <c r="C40" s="20"/>
      <c r="D40" s="20"/>
      <c r="E40" s="20"/>
      <c r="F40" s="20"/>
      <c r="G40" s="20"/>
      <c r="H40" s="20"/>
      <c r="I40" s="20"/>
      <c r="J40" s="48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x14ac:dyDescent="0.25">
      <c r="A41" s="20"/>
      <c r="B41" s="20"/>
      <c r="C41" s="20"/>
      <c r="D41" s="20"/>
      <c r="E41" s="20"/>
      <c r="F41" s="20"/>
      <c r="G41" s="20"/>
      <c r="H41" s="20"/>
      <c r="I41" s="20"/>
      <c r="J41" s="48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x14ac:dyDescent="0.25">
      <c r="A42" s="20"/>
      <c r="B42" s="20"/>
      <c r="C42" s="20"/>
      <c r="D42" s="20"/>
      <c r="E42" s="20"/>
      <c r="F42" s="20"/>
      <c r="G42" s="20"/>
      <c r="H42" s="20"/>
      <c r="I42" s="20"/>
      <c r="J42" s="48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x14ac:dyDescent="0.25">
      <c r="A43" s="20"/>
      <c r="B43" s="20"/>
      <c r="C43" s="20"/>
      <c r="D43" s="20"/>
      <c r="E43" s="20"/>
      <c r="F43" s="20"/>
      <c r="G43" s="20"/>
      <c r="H43" s="20"/>
      <c r="I43" s="20"/>
      <c r="J43" s="48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x14ac:dyDescent="0.25">
      <c r="A44" s="20"/>
      <c r="B44" s="20"/>
      <c r="C44" s="20"/>
      <c r="D44" s="20"/>
      <c r="E44" s="20"/>
      <c r="F44" s="20"/>
      <c r="G44" s="20"/>
      <c r="H44" s="20"/>
      <c r="I44" s="20"/>
      <c r="J44" s="48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x14ac:dyDescent="0.25">
      <c r="A45" s="20"/>
      <c r="B45" s="20"/>
      <c r="C45" s="20"/>
      <c r="D45" s="20"/>
      <c r="E45" s="20"/>
      <c r="F45" s="20"/>
      <c r="G45" s="20"/>
      <c r="H45" s="20"/>
      <c r="I45" s="20"/>
      <c r="J45" s="48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x14ac:dyDescent="0.25">
      <c r="A46" s="20"/>
      <c r="B46" s="20"/>
      <c r="C46" s="20"/>
      <c r="D46" s="20"/>
      <c r="E46" s="20"/>
      <c r="F46" s="20"/>
      <c r="G46" s="20"/>
      <c r="H46" s="20"/>
      <c r="I46" s="20"/>
      <c r="J46" s="48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x14ac:dyDescent="0.25">
      <c r="A47" s="20"/>
      <c r="B47" s="20"/>
      <c r="C47" s="20"/>
      <c r="D47" s="20"/>
      <c r="E47" s="20"/>
      <c r="F47" s="20"/>
      <c r="G47" s="20"/>
      <c r="H47" s="20"/>
      <c r="I47" s="20"/>
      <c r="J47" s="48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x14ac:dyDescent="0.25">
      <c r="A48" s="20"/>
      <c r="B48" s="20"/>
      <c r="C48" s="20"/>
      <c r="D48" s="20"/>
      <c r="E48" s="20"/>
      <c r="F48" s="20"/>
      <c r="G48" s="20"/>
      <c r="H48" s="20"/>
      <c r="I48" s="20"/>
      <c r="J48" s="48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x14ac:dyDescent="0.25">
      <c r="A49" s="20"/>
      <c r="B49" s="20"/>
      <c r="C49" s="20"/>
      <c r="D49" s="20"/>
      <c r="E49" s="20"/>
      <c r="F49" s="20"/>
      <c r="G49" s="20"/>
      <c r="H49" s="20"/>
      <c r="I49" s="20"/>
      <c r="J49" s="48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x14ac:dyDescent="0.25">
      <c r="A50" s="20"/>
      <c r="B50" s="20"/>
      <c r="C50" s="20"/>
      <c r="D50" s="20"/>
      <c r="E50" s="20"/>
      <c r="F50" s="20"/>
      <c r="G50" s="20"/>
      <c r="H50" s="20"/>
      <c r="I50" s="20"/>
      <c r="J50" s="48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x14ac:dyDescent="0.25">
      <c r="A51" s="20"/>
      <c r="B51" s="20"/>
      <c r="C51" s="20"/>
      <c r="D51" s="20"/>
      <c r="E51" s="20"/>
      <c r="F51" s="20"/>
      <c r="G51" s="20"/>
      <c r="H51" s="20"/>
      <c r="I51" s="20"/>
      <c r="J51" s="48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x14ac:dyDescent="0.25">
      <c r="A52" s="20"/>
      <c r="B52" s="20"/>
      <c r="C52" s="20"/>
      <c r="D52" s="20"/>
      <c r="E52" s="20"/>
      <c r="F52" s="20"/>
      <c r="G52" s="20"/>
      <c r="H52" s="20"/>
      <c r="I52" s="20"/>
      <c r="J52" s="48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x14ac:dyDescent="0.25">
      <c r="A53" s="20"/>
      <c r="B53" s="20"/>
      <c r="C53" s="20"/>
      <c r="D53" s="20"/>
      <c r="E53" s="20"/>
      <c r="F53" s="20"/>
      <c r="G53" s="20"/>
      <c r="H53" s="20"/>
      <c r="I53" s="20"/>
      <c r="J53" s="48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x14ac:dyDescent="0.25">
      <c r="A54" s="20"/>
      <c r="B54" s="20"/>
      <c r="C54" s="20"/>
      <c r="D54" s="20"/>
      <c r="E54" s="20"/>
      <c r="F54" s="20"/>
      <c r="G54" s="20"/>
      <c r="H54" s="20"/>
      <c r="I54" s="20"/>
      <c r="J54" s="48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x14ac:dyDescent="0.25">
      <c r="A55" s="20"/>
      <c r="B55" s="20"/>
      <c r="C55" s="20"/>
      <c r="D55" s="20"/>
      <c r="E55" s="20"/>
      <c r="F55" s="20"/>
      <c r="G55" s="20"/>
      <c r="H55" s="20"/>
      <c r="I55" s="20"/>
      <c r="J55" s="48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x14ac:dyDescent="0.25">
      <c r="A56" s="20"/>
      <c r="B56" s="20"/>
      <c r="C56" s="20"/>
      <c r="D56" s="20"/>
      <c r="E56" s="20"/>
      <c r="F56" s="20"/>
      <c r="G56" s="20"/>
      <c r="H56" s="20"/>
      <c r="I56" s="20"/>
      <c r="J56" s="48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x14ac:dyDescent="0.25">
      <c r="A57" s="20"/>
      <c r="B57" s="20"/>
      <c r="C57" s="20"/>
      <c r="D57" s="20"/>
      <c r="E57" s="20"/>
      <c r="F57" s="20"/>
      <c r="G57" s="20"/>
      <c r="H57" s="20"/>
      <c r="I57" s="20"/>
      <c r="J57" s="48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x14ac:dyDescent="0.25">
      <c r="A58" s="20"/>
      <c r="B58" s="20"/>
      <c r="C58" s="20"/>
      <c r="D58" s="20"/>
      <c r="E58" s="20"/>
      <c r="F58" s="20"/>
      <c r="G58" s="20"/>
      <c r="H58" s="20"/>
      <c r="I58" s="20"/>
      <c r="J58" s="48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x14ac:dyDescent="0.25">
      <c r="A59" s="20"/>
      <c r="B59" s="20"/>
      <c r="C59" s="20"/>
      <c r="D59" s="20"/>
      <c r="E59" s="20"/>
      <c r="F59" s="20"/>
      <c r="G59" s="20"/>
      <c r="H59" s="20"/>
      <c r="I59" s="20"/>
      <c r="J59" s="48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x14ac:dyDescent="0.25">
      <c r="A60" s="20"/>
      <c r="B60" s="20"/>
      <c r="C60" s="20"/>
      <c r="D60" s="20"/>
      <c r="E60" s="20"/>
      <c r="F60" s="20"/>
      <c r="G60" s="20"/>
      <c r="H60" s="20"/>
      <c r="I60" s="20"/>
      <c r="J60" s="48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x14ac:dyDescent="0.25">
      <c r="A61" s="20"/>
      <c r="B61" s="20"/>
      <c r="C61" s="20"/>
      <c r="D61" s="20"/>
      <c r="E61" s="20"/>
      <c r="F61" s="20"/>
      <c r="G61" s="20"/>
      <c r="H61" s="20"/>
      <c r="I61" s="20"/>
      <c r="J61" s="48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x14ac:dyDescent="0.25">
      <c r="A62" s="20"/>
      <c r="B62" s="20"/>
      <c r="C62" s="20"/>
      <c r="D62" s="20"/>
      <c r="E62" s="20"/>
      <c r="F62" s="20"/>
      <c r="G62" s="20"/>
      <c r="H62" s="20"/>
      <c r="I62" s="20"/>
      <c r="J62" s="48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x14ac:dyDescent="0.25">
      <c r="A63" s="20"/>
      <c r="B63" s="20"/>
      <c r="C63" s="20"/>
      <c r="D63" s="20"/>
      <c r="E63" s="20"/>
      <c r="F63" s="20"/>
      <c r="G63" s="20"/>
      <c r="H63" s="20"/>
      <c r="I63" s="20"/>
      <c r="J63" s="48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x14ac:dyDescent="0.25">
      <c r="A64" s="20"/>
      <c r="B64" s="20"/>
      <c r="C64" s="20"/>
      <c r="D64" s="20"/>
      <c r="E64" s="20"/>
      <c r="F64" s="20"/>
      <c r="G64" s="20"/>
      <c r="H64" s="20"/>
      <c r="I64" s="20"/>
      <c r="J64" s="48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x14ac:dyDescent="0.25">
      <c r="A65" s="20"/>
      <c r="B65" s="20"/>
      <c r="C65" s="20"/>
      <c r="D65" s="20"/>
      <c r="E65" s="20"/>
      <c r="F65" s="20"/>
      <c r="G65" s="20"/>
      <c r="H65" s="20"/>
      <c r="I65" s="20"/>
      <c r="J65" s="48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x14ac:dyDescent="0.25">
      <c r="A66" s="20"/>
      <c r="B66" s="20"/>
      <c r="C66" s="20"/>
      <c r="D66" s="20"/>
      <c r="E66" s="20"/>
      <c r="F66" s="20"/>
      <c r="G66" s="20"/>
      <c r="H66" s="20"/>
      <c r="I66" s="20"/>
      <c r="J66" s="48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x14ac:dyDescent="0.25">
      <c r="A67" s="20"/>
      <c r="B67" s="20"/>
      <c r="C67" s="20"/>
      <c r="D67" s="20"/>
      <c r="E67" s="20"/>
      <c r="F67" s="20"/>
      <c r="G67" s="20"/>
      <c r="H67" s="20"/>
      <c r="I67" s="20"/>
      <c r="J67" s="48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x14ac:dyDescent="0.25">
      <c r="A68" s="20"/>
      <c r="B68" s="20"/>
      <c r="C68" s="20"/>
      <c r="D68" s="20"/>
      <c r="E68" s="20"/>
      <c r="F68" s="20"/>
      <c r="G68" s="20"/>
      <c r="H68" s="20"/>
      <c r="I68" s="20"/>
      <c r="J68" s="48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x14ac:dyDescent="0.25">
      <c r="A69" s="20"/>
      <c r="B69" s="20"/>
      <c r="C69" s="20"/>
      <c r="D69" s="20"/>
      <c r="E69" s="20"/>
      <c r="F69" s="20"/>
      <c r="G69" s="20"/>
      <c r="H69" s="20"/>
      <c r="I69" s="20"/>
      <c r="J69" s="48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x14ac:dyDescent="0.25">
      <c r="A70" s="20"/>
      <c r="B70" s="20"/>
      <c r="C70" s="20"/>
      <c r="D70" s="20"/>
      <c r="E70" s="20"/>
      <c r="F70" s="20"/>
      <c r="G70" s="20"/>
      <c r="H70" s="20"/>
      <c r="I70" s="20"/>
      <c r="J70" s="48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x14ac:dyDescent="0.25">
      <c r="A71" s="20"/>
      <c r="B71" s="20"/>
      <c r="C71" s="20"/>
      <c r="D71" s="20"/>
      <c r="E71" s="20"/>
      <c r="F71" s="20"/>
      <c r="G71" s="20"/>
      <c r="H71" s="20"/>
      <c r="I71" s="20"/>
      <c r="J71" s="48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x14ac:dyDescent="0.25">
      <c r="A72" s="20"/>
      <c r="B72" s="20"/>
      <c r="C72" s="20"/>
      <c r="D72" s="20"/>
      <c r="E72" s="20"/>
      <c r="F72" s="20"/>
      <c r="G72" s="20"/>
      <c r="H72" s="20"/>
      <c r="I72" s="20"/>
      <c r="J72" s="48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x14ac:dyDescent="0.25">
      <c r="A73" s="20"/>
      <c r="B73" s="20"/>
      <c r="C73" s="20"/>
      <c r="D73" s="20"/>
      <c r="E73" s="20"/>
      <c r="F73" s="20"/>
      <c r="G73" s="20"/>
      <c r="H73" s="20"/>
      <c r="I73" s="20"/>
      <c r="J73" s="48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x14ac:dyDescent="0.25">
      <c r="A74" s="20"/>
      <c r="B74" s="20"/>
      <c r="C74" s="20"/>
      <c r="D74" s="20"/>
      <c r="E74" s="20"/>
      <c r="F74" s="20"/>
      <c r="G74" s="20"/>
      <c r="H74" s="20"/>
      <c r="I74" s="20"/>
      <c r="J74" s="48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x14ac:dyDescent="0.25">
      <c r="A75" s="20"/>
      <c r="B75" s="20"/>
      <c r="C75" s="20"/>
      <c r="D75" s="20"/>
      <c r="E75" s="20"/>
      <c r="F75" s="20"/>
      <c r="G75" s="20"/>
      <c r="H75" s="20"/>
      <c r="I75" s="20"/>
      <c r="J75" s="48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x14ac:dyDescent="0.25">
      <c r="A76" s="20"/>
      <c r="B76" s="20"/>
      <c r="C76" s="20"/>
      <c r="D76" s="20"/>
      <c r="E76" s="20"/>
      <c r="F76" s="20"/>
      <c r="G76" s="20"/>
      <c r="H76" s="20"/>
      <c r="I76" s="20"/>
      <c r="J76" s="48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x14ac:dyDescent="0.25">
      <c r="A77" s="20"/>
      <c r="B77" s="20"/>
      <c r="C77" s="20"/>
      <c r="D77" s="20"/>
      <c r="E77" s="20"/>
      <c r="F77" s="20"/>
      <c r="G77" s="20"/>
      <c r="H77" s="20"/>
      <c r="I77" s="20"/>
      <c r="J77" s="48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x14ac:dyDescent="0.25">
      <c r="A78" s="20"/>
      <c r="B78" s="20"/>
      <c r="C78" s="20"/>
      <c r="D78" s="20"/>
      <c r="E78" s="20"/>
      <c r="F78" s="20"/>
      <c r="G78" s="20"/>
      <c r="H78" s="20"/>
      <c r="I78" s="20"/>
      <c r="J78" s="48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x14ac:dyDescent="0.25">
      <c r="A79" s="20"/>
      <c r="B79" s="20"/>
      <c r="C79" s="20"/>
      <c r="D79" s="20"/>
      <c r="E79" s="20"/>
      <c r="F79" s="20"/>
      <c r="G79" s="20"/>
      <c r="H79" s="20"/>
      <c r="I79" s="20"/>
      <c r="J79" s="48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x14ac:dyDescent="0.25">
      <c r="A80" s="20"/>
      <c r="B80" s="20"/>
      <c r="C80" s="20"/>
      <c r="D80" s="20"/>
      <c r="E80" s="20"/>
      <c r="F80" s="20"/>
      <c r="G80" s="20"/>
      <c r="H80" s="20"/>
      <c r="I80" s="20"/>
      <c r="J80" s="48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x14ac:dyDescent="0.25">
      <c r="A81" s="20"/>
      <c r="B81" s="20"/>
      <c r="C81" s="20"/>
      <c r="D81" s="20"/>
      <c r="E81" s="20"/>
      <c r="F81" s="20"/>
      <c r="G81" s="20"/>
      <c r="H81" s="20"/>
      <c r="I81" s="20"/>
      <c r="J81" s="48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x14ac:dyDescent="0.25">
      <c r="A82" s="20"/>
      <c r="B82" s="20"/>
      <c r="C82" s="20"/>
      <c r="D82" s="20"/>
      <c r="E82" s="20"/>
      <c r="F82" s="20"/>
      <c r="G82" s="20"/>
      <c r="H82" s="20"/>
      <c r="I82" s="20"/>
      <c r="J82" s="48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x14ac:dyDescent="0.25">
      <c r="A83" s="20"/>
      <c r="B83" s="20"/>
      <c r="C83" s="20"/>
      <c r="D83" s="20"/>
      <c r="E83" s="20"/>
      <c r="F83" s="20"/>
      <c r="G83" s="20"/>
      <c r="H83" s="20"/>
      <c r="I83" s="20"/>
      <c r="J83" s="48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x14ac:dyDescent="0.25">
      <c r="A84" s="20"/>
      <c r="B84" s="20"/>
      <c r="C84" s="20"/>
      <c r="D84" s="20"/>
      <c r="E84" s="20"/>
      <c r="F84" s="20"/>
      <c r="G84" s="20"/>
      <c r="H84" s="20"/>
      <c r="I84" s="20"/>
      <c r="J84" s="48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x14ac:dyDescent="0.25">
      <c r="A85" s="20"/>
      <c r="B85" s="20"/>
      <c r="C85" s="20"/>
      <c r="D85" s="20"/>
      <c r="E85" s="20"/>
      <c r="F85" s="20"/>
      <c r="G85" s="20"/>
      <c r="H85" s="20"/>
      <c r="I85" s="20"/>
      <c r="J85" s="48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x14ac:dyDescent="0.25">
      <c r="A86" s="20"/>
      <c r="B86" s="20"/>
      <c r="C86" s="20"/>
      <c r="D86" s="20"/>
      <c r="E86" s="20"/>
      <c r="F86" s="20"/>
      <c r="G86" s="20"/>
      <c r="H86" s="20"/>
      <c r="I86" s="20"/>
      <c r="J86" s="48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x14ac:dyDescent="0.25">
      <c r="A87" s="20"/>
      <c r="B87" s="20"/>
      <c r="C87" s="20"/>
      <c r="D87" s="20"/>
      <c r="E87" s="20"/>
      <c r="F87" s="20"/>
      <c r="G87" s="20"/>
      <c r="H87" s="20"/>
      <c r="I87" s="20"/>
      <c r="J87" s="48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x14ac:dyDescent="0.25">
      <c r="A88" s="20"/>
      <c r="B88" s="20"/>
      <c r="C88" s="20"/>
      <c r="D88" s="20"/>
      <c r="E88" s="20"/>
      <c r="F88" s="20"/>
      <c r="G88" s="20"/>
      <c r="H88" s="20"/>
      <c r="I88" s="20"/>
      <c r="J88" s="48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x14ac:dyDescent="0.25">
      <c r="A89" s="20"/>
      <c r="B89" s="20"/>
      <c r="C89" s="20"/>
      <c r="D89" s="20"/>
      <c r="E89" s="20"/>
      <c r="F89" s="20"/>
      <c r="G89" s="20"/>
      <c r="H89" s="20"/>
      <c r="I89" s="20"/>
      <c r="J89" s="48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x14ac:dyDescent="0.25">
      <c r="A90" s="20"/>
      <c r="B90" s="20"/>
      <c r="C90" s="20"/>
      <c r="D90" s="20"/>
      <c r="E90" s="20"/>
      <c r="F90" s="20"/>
      <c r="G90" s="20"/>
      <c r="H90" s="20"/>
      <c r="I90" s="20"/>
      <c r="J90" s="48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x14ac:dyDescent="0.25">
      <c r="A91" s="20"/>
      <c r="B91" s="20"/>
      <c r="C91" s="20"/>
      <c r="D91" s="20"/>
      <c r="E91" s="20"/>
      <c r="F91" s="20"/>
      <c r="G91" s="20"/>
      <c r="H91" s="20"/>
      <c r="I91" s="20"/>
      <c r="J91" s="48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x14ac:dyDescent="0.25">
      <c r="A92" s="20"/>
      <c r="B92" s="20"/>
      <c r="C92" s="20"/>
      <c r="D92" s="20"/>
      <c r="E92" s="20"/>
      <c r="F92" s="20"/>
      <c r="G92" s="20"/>
      <c r="H92" s="20"/>
      <c r="I92" s="20"/>
      <c r="J92" s="48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x14ac:dyDescent="0.25">
      <c r="A93" s="20"/>
      <c r="B93" s="20"/>
      <c r="C93" s="20"/>
      <c r="D93" s="20"/>
      <c r="E93" s="20"/>
      <c r="F93" s="20"/>
      <c r="G93" s="20"/>
      <c r="H93" s="20"/>
      <c r="I93" s="20"/>
      <c r="J93" s="48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x14ac:dyDescent="0.25">
      <c r="A94" s="20"/>
      <c r="B94" s="20"/>
      <c r="C94" s="20"/>
      <c r="D94" s="20"/>
      <c r="E94" s="20"/>
      <c r="F94" s="20"/>
      <c r="G94" s="20"/>
      <c r="H94" s="20"/>
      <c r="I94" s="20"/>
      <c r="J94" s="48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x14ac:dyDescent="0.25">
      <c r="A95" s="20"/>
      <c r="B95" s="20"/>
      <c r="C95" s="20"/>
      <c r="D95" s="20"/>
      <c r="E95" s="20"/>
      <c r="F95" s="20"/>
      <c r="G95" s="20"/>
      <c r="H95" s="20"/>
      <c r="I95" s="20"/>
      <c r="J95" s="48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x14ac:dyDescent="0.25">
      <c r="A96" s="20"/>
      <c r="B96" s="20"/>
      <c r="C96" s="20"/>
      <c r="D96" s="20"/>
      <c r="E96" s="20"/>
      <c r="F96" s="20"/>
      <c r="G96" s="20"/>
      <c r="H96" s="20"/>
      <c r="I96" s="20"/>
      <c r="J96" s="48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x14ac:dyDescent="0.25">
      <c r="A97" s="20"/>
      <c r="B97" s="20"/>
      <c r="C97" s="20"/>
      <c r="D97" s="20"/>
      <c r="E97" s="20"/>
      <c r="F97" s="20"/>
      <c r="G97" s="20"/>
      <c r="H97" s="20"/>
      <c r="I97" s="20"/>
      <c r="J97" s="48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x14ac:dyDescent="0.25">
      <c r="A98" s="20"/>
      <c r="B98" s="20"/>
      <c r="C98" s="20"/>
      <c r="D98" s="20"/>
      <c r="E98" s="20"/>
      <c r="F98" s="20"/>
      <c r="G98" s="20"/>
      <c r="H98" s="20"/>
      <c r="I98" s="20"/>
      <c r="J98" s="48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x14ac:dyDescent="0.25">
      <c r="A99" s="20"/>
      <c r="B99" s="20"/>
      <c r="C99" s="20"/>
      <c r="D99" s="20"/>
      <c r="E99" s="20"/>
      <c r="F99" s="20"/>
      <c r="G99" s="20"/>
      <c r="H99" s="20"/>
      <c r="I99" s="20"/>
      <c r="J99" s="48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x14ac:dyDescent="0.25">
      <c r="A100" s="20"/>
      <c r="B100" s="20"/>
      <c r="C100" s="20"/>
      <c r="D100" s="20"/>
      <c r="E100" s="20"/>
      <c r="F100" s="20"/>
      <c r="G100" s="20"/>
      <c r="H100" s="20"/>
      <c r="I100" s="20"/>
      <c r="J100" s="48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x14ac:dyDescent="0.25">
      <c r="A101" s="20"/>
      <c r="B101" s="20"/>
      <c r="C101" s="20"/>
      <c r="D101" s="20"/>
      <c r="E101" s="20"/>
      <c r="F101" s="20"/>
      <c r="G101" s="20"/>
      <c r="H101" s="20"/>
      <c r="I101" s="20"/>
      <c r="J101" s="48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x14ac:dyDescent="0.25">
      <c r="A102" s="20"/>
      <c r="B102" s="20"/>
      <c r="C102" s="20"/>
      <c r="D102" s="20"/>
      <c r="E102" s="20"/>
      <c r="F102" s="20"/>
      <c r="G102" s="20"/>
      <c r="H102" s="20"/>
      <c r="I102" s="20"/>
      <c r="J102" s="48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x14ac:dyDescent="0.25">
      <c r="A103" s="20"/>
      <c r="B103" s="20"/>
      <c r="C103" s="20"/>
      <c r="D103" s="20"/>
      <c r="E103" s="20"/>
      <c r="F103" s="20"/>
      <c r="G103" s="20"/>
      <c r="H103" s="20"/>
      <c r="I103" s="20"/>
      <c r="J103" s="48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x14ac:dyDescent="0.25">
      <c r="A104" s="20"/>
      <c r="B104" s="20"/>
      <c r="C104" s="20"/>
      <c r="D104" s="20"/>
      <c r="E104" s="20"/>
      <c r="F104" s="20"/>
      <c r="G104" s="20"/>
      <c r="H104" s="20"/>
      <c r="I104" s="20"/>
      <c r="J104" s="48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x14ac:dyDescent="0.25">
      <c r="A105" s="20"/>
      <c r="B105" s="20"/>
      <c r="C105" s="20"/>
      <c r="D105" s="20"/>
      <c r="E105" s="20"/>
      <c r="F105" s="20"/>
      <c r="G105" s="20"/>
      <c r="H105" s="20"/>
      <c r="I105" s="20"/>
      <c r="J105" s="48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x14ac:dyDescent="0.25">
      <c r="A106" s="20"/>
      <c r="B106" s="20"/>
      <c r="C106" s="20"/>
      <c r="D106" s="20"/>
      <c r="E106" s="20"/>
      <c r="F106" s="20"/>
      <c r="G106" s="20"/>
      <c r="H106" s="20"/>
      <c r="I106" s="20"/>
      <c r="J106" s="48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x14ac:dyDescent="0.25">
      <c r="A107" s="20"/>
      <c r="B107" s="20"/>
      <c r="C107" s="20"/>
      <c r="D107" s="20"/>
      <c r="E107" s="20"/>
      <c r="F107" s="20"/>
      <c r="G107" s="20"/>
      <c r="H107" s="20"/>
      <c r="I107" s="20"/>
      <c r="J107" s="48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x14ac:dyDescent="0.25">
      <c r="A108" s="20"/>
      <c r="B108" s="20"/>
      <c r="C108" s="20"/>
      <c r="D108" s="20"/>
      <c r="E108" s="20"/>
      <c r="F108" s="20"/>
      <c r="G108" s="20"/>
      <c r="H108" s="20"/>
      <c r="I108" s="20"/>
      <c r="J108" s="48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x14ac:dyDescent="0.25">
      <c r="A109" s="20"/>
      <c r="B109" s="20"/>
      <c r="C109" s="20"/>
      <c r="D109" s="20"/>
      <c r="E109" s="20"/>
      <c r="F109" s="20"/>
      <c r="G109" s="20"/>
      <c r="H109" s="20"/>
      <c r="I109" s="20"/>
      <c r="J109" s="48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x14ac:dyDescent="0.25">
      <c r="A110" s="20"/>
      <c r="B110" s="20"/>
      <c r="C110" s="20"/>
      <c r="D110" s="20"/>
      <c r="E110" s="20"/>
      <c r="F110" s="20"/>
      <c r="G110" s="20"/>
      <c r="H110" s="20"/>
      <c r="I110" s="20"/>
      <c r="J110" s="48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x14ac:dyDescent="0.25">
      <c r="A111" s="20"/>
      <c r="B111" s="20"/>
      <c r="C111" s="20"/>
      <c r="D111" s="20"/>
      <c r="E111" s="20"/>
      <c r="F111" s="20"/>
      <c r="G111" s="20"/>
      <c r="H111" s="20"/>
      <c r="I111" s="20"/>
      <c r="J111" s="48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x14ac:dyDescent="0.25">
      <c r="A112" s="20"/>
      <c r="B112" s="20"/>
      <c r="C112" s="20"/>
      <c r="D112" s="20"/>
      <c r="E112" s="20"/>
      <c r="F112" s="20"/>
      <c r="G112" s="20"/>
      <c r="H112" s="20"/>
      <c r="I112" s="20"/>
      <c r="J112" s="48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x14ac:dyDescent="0.25">
      <c r="A113" s="20"/>
      <c r="B113" s="20"/>
      <c r="C113" s="20"/>
      <c r="D113" s="20"/>
      <c r="E113" s="20"/>
      <c r="F113" s="20"/>
      <c r="G113" s="20"/>
      <c r="H113" s="20"/>
      <c r="I113" s="20"/>
      <c r="J113" s="48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x14ac:dyDescent="0.25">
      <c r="A114" s="20"/>
      <c r="B114" s="20"/>
      <c r="C114" s="20"/>
      <c r="D114" s="20"/>
      <c r="E114" s="20"/>
      <c r="F114" s="20"/>
      <c r="G114" s="20"/>
      <c r="H114" s="20"/>
      <c r="I114" s="20"/>
      <c r="J114" s="48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x14ac:dyDescent="0.25">
      <c r="A115" s="20"/>
      <c r="B115" s="20"/>
      <c r="C115" s="20"/>
      <c r="D115" s="20"/>
      <c r="E115" s="20"/>
      <c r="F115" s="20"/>
      <c r="G115" s="20"/>
      <c r="H115" s="20"/>
      <c r="I115" s="20"/>
      <c r="J115" s="48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x14ac:dyDescent="0.25">
      <c r="A116" s="20"/>
      <c r="B116" s="20"/>
      <c r="C116" s="20"/>
      <c r="D116" s="20"/>
      <c r="E116" s="20"/>
      <c r="F116" s="20"/>
      <c r="G116" s="20"/>
      <c r="H116" s="20"/>
      <c r="I116" s="20"/>
      <c r="J116" s="48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x14ac:dyDescent="0.25">
      <c r="A117" s="20"/>
      <c r="B117" s="20"/>
      <c r="C117" s="20"/>
      <c r="D117" s="20"/>
      <c r="E117" s="20"/>
      <c r="F117" s="20"/>
      <c r="G117" s="20"/>
      <c r="H117" s="20"/>
      <c r="I117" s="20"/>
      <c r="J117" s="48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x14ac:dyDescent="0.25">
      <c r="A118" s="20"/>
      <c r="B118" s="20"/>
      <c r="C118" s="20"/>
      <c r="D118" s="20"/>
      <c r="E118" s="20"/>
      <c r="F118" s="20"/>
      <c r="G118" s="20"/>
      <c r="H118" s="20"/>
      <c r="I118" s="20"/>
      <c r="J118" s="48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x14ac:dyDescent="0.25">
      <c r="A119" s="20"/>
      <c r="B119" s="20"/>
      <c r="C119" s="20"/>
      <c r="D119" s="20"/>
      <c r="E119" s="20"/>
      <c r="F119" s="20"/>
      <c r="G119" s="20"/>
      <c r="H119" s="20"/>
      <c r="I119" s="20"/>
      <c r="J119" s="48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x14ac:dyDescent="0.25">
      <c r="A120" s="20"/>
      <c r="B120" s="20"/>
      <c r="C120" s="20"/>
      <c r="D120" s="20"/>
      <c r="E120" s="20"/>
      <c r="F120" s="20"/>
      <c r="G120" s="20"/>
      <c r="H120" s="20"/>
      <c r="I120" s="20"/>
      <c r="J120" s="48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x14ac:dyDescent="0.25">
      <c r="A121" s="20"/>
      <c r="B121" s="20"/>
      <c r="C121" s="20"/>
      <c r="D121" s="20"/>
      <c r="E121" s="20"/>
      <c r="F121" s="20"/>
      <c r="G121" s="20"/>
      <c r="H121" s="20"/>
      <c r="I121" s="20"/>
      <c r="J121" s="48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x14ac:dyDescent="0.25">
      <c r="A122" s="20"/>
      <c r="B122" s="20"/>
      <c r="C122" s="20"/>
      <c r="D122" s="20"/>
      <c r="E122" s="20"/>
      <c r="F122" s="20"/>
      <c r="G122" s="20"/>
      <c r="H122" s="20"/>
      <c r="I122" s="20"/>
      <c r="J122" s="48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x14ac:dyDescent="0.25">
      <c r="A123" s="20"/>
      <c r="B123" s="20"/>
      <c r="C123" s="20"/>
      <c r="D123" s="20"/>
      <c r="E123" s="20"/>
      <c r="F123" s="20"/>
      <c r="G123" s="20"/>
      <c r="H123" s="20"/>
      <c r="I123" s="20"/>
      <c r="J123" s="48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x14ac:dyDescent="0.25">
      <c r="A124" s="20"/>
      <c r="B124" s="20"/>
      <c r="C124" s="20"/>
      <c r="D124" s="20"/>
      <c r="E124" s="20"/>
      <c r="F124" s="20"/>
      <c r="G124" s="20"/>
      <c r="H124" s="20"/>
      <c r="I124" s="20"/>
      <c r="J124" s="48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x14ac:dyDescent="0.25">
      <c r="A125" s="20"/>
      <c r="B125" s="20"/>
      <c r="C125" s="20"/>
      <c r="D125" s="20"/>
      <c r="E125" s="20"/>
      <c r="F125" s="20"/>
      <c r="G125" s="20"/>
      <c r="H125" s="20"/>
      <c r="I125" s="20"/>
      <c r="J125" s="48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x14ac:dyDescent="0.25">
      <c r="A126" s="20"/>
      <c r="B126" s="20"/>
      <c r="C126" s="20"/>
      <c r="D126" s="20"/>
      <c r="E126" s="20"/>
      <c r="F126" s="20"/>
      <c r="G126" s="20"/>
      <c r="H126" s="20"/>
      <c r="I126" s="20"/>
      <c r="J126" s="48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x14ac:dyDescent="0.25">
      <c r="A127" s="20"/>
      <c r="B127" s="20"/>
      <c r="C127" s="20"/>
      <c r="D127" s="20"/>
      <c r="E127" s="20"/>
      <c r="F127" s="20"/>
      <c r="G127" s="20"/>
      <c r="H127" s="20"/>
      <c r="I127" s="20"/>
      <c r="J127" s="48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x14ac:dyDescent="0.25">
      <c r="A128" s="20"/>
      <c r="B128" s="20"/>
      <c r="C128" s="20"/>
      <c r="D128" s="20"/>
      <c r="E128" s="20"/>
      <c r="F128" s="20"/>
      <c r="G128" s="20"/>
      <c r="H128" s="20"/>
      <c r="I128" s="20"/>
      <c r="J128" s="48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x14ac:dyDescent="0.25">
      <c r="A129" s="20"/>
      <c r="B129" s="20"/>
      <c r="C129" s="20"/>
      <c r="D129" s="20"/>
      <c r="E129" s="20"/>
      <c r="F129" s="20"/>
      <c r="G129" s="20"/>
      <c r="H129" s="20"/>
      <c r="I129" s="20"/>
      <c r="J129" s="48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x14ac:dyDescent="0.25">
      <c r="A130" s="20"/>
      <c r="B130" s="20"/>
      <c r="C130" s="20"/>
      <c r="D130" s="20"/>
      <c r="E130" s="20"/>
      <c r="F130" s="20"/>
      <c r="G130" s="20"/>
      <c r="H130" s="20"/>
      <c r="I130" s="20"/>
      <c r="J130" s="48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x14ac:dyDescent="0.25">
      <c r="A131" s="20"/>
      <c r="B131" s="20"/>
      <c r="C131" s="20"/>
      <c r="D131" s="20"/>
      <c r="E131" s="20"/>
      <c r="F131" s="20"/>
      <c r="G131" s="20"/>
      <c r="H131" s="20"/>
      <c r="I131" s="20"/>
      <c r="J131" s="48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x14ac:dyDescent="0.25">
      <c r="A132" s="20"/>
      <c r="B132" s="20"/>
      <c r="C132" s="20"/>
      <c r="D132" s="20"/>
      <c r="E132" s="20"/>
      <c r="F132" s="20"/>
      <c r="G132" s="20"/>
      <c r="H132" s="20"/>
      <c r="I132" s="20"/>
      <c r="J132" s="48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x14ac:dyDescent="0.25">
      <c r="A133" s="20"/>
      <c r="B133" s="20"/>
      <c r="C133" s="20"/>
      <c r="D133" s="20"/>
      <c r="E133" s="20"/>
      <c r="F133" s="20"/>
      <c r="G133" s="20"/>
      <c r="H133" s="20"/>
      <c r="I133" s="20"/>
      <c r="J133" s="48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x14ac:dyDescent="0.25">
      <c r="A134" s="20"/>
      <c r="B134" s="20"/>
      <c r="C134" s="20"/>
      <c r="D134" s="20"/>
      <c r="E134" s="20"/>
      <c r="F134" s="20"/>
      <c r="G134" s="20"/>
      <c r="H134" s="20"/>
      <c r="I134" s="20"/>
      <c r="J134" s="48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x14ac:dyDescent="0.25">
      <c r="A135" s="20"/>
      <c r="B135" s="20"/>
      <c r="C135" s="20"/>
      <c r="D135" s="20"/>
      <c r="E135" s="20"/>
      <c r="F135" s="20"/>
      <c r="G135" s="20"/>
      <c r="H135" s="20"/>
      <c r="I135" s="20"/>
      <c r="J135" s="48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x14ac:dyDescent="0.25">
      <c r="A136" s="20"/>
      <c r="B136" s="20"/>
      <c r="C136" s="20"/>
      <c r="D136" s="20"/>
      <c r="E136" s="20"/>
      <c r="F136" s="20"/>
      <c r="G136" s="20"/>
      <c r="H136" s="20"/>
      <c r="I136" s="20"/>
      <c r="J136" s="48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x14ac:dyDescent="0.25">
      <c r="A137" s="20"/>
      <c r="B137" s="20"/>
      <c r="C137" s="20"/>
      <c r="D137" s="20"/>
      <c r="E137" s="20"/>
      <c r="F137" s="20"/>
      <c r="G137" s="20"/>
      <c r="H137" s="20"/>
      <c r="I137" s="20"/>
      <c r="J137" s="48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x14ac:dyDescent="0.25">
      <c r="A138" s="20"/>
      <c r="B138" s="20"/>
      <c r="C138" s="20"/>
      <c r="D138" s="20"/>
      <c r="E138" s="20"/>
      <c r="F138" s="20"/>
      <c r="G138" s="20"/>
      <c r="H138" s="20"/>
      <c r="I138" s="20"/>
      <c r="J138" s="48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x14ac:dyDescent="0.25">
      <c r="A139" s="20"/>
      <c r="B139" s="20"/>
      <c r="C139" s="20"/>
      <c r="D139" s="20"/>
      <c r="E139" s="20"/>
      <c r="F139" s="20"/>
      <c r="G139" s="20"/>
      <c r="H139" s="20"/>
      <c r="I139" s="20"/>
      <c r="J139" s="48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x14ac:dyDescent="0.25">
      <c r="A140" s="20"/>
      <c r="B140" s="20"/>
      <c r="C140" s="20"/>
      <c r="D140" s="20"/>
      <c r="E140" s="20"/>
      <c r="F140" s="20"/>
      <c r="G140" s="20"/>
      <c r="H140" s="20"/>
      <c r="I140" s="20"/>
      <c r="J140" s="48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x14ac:dyDescent="0.25">
      <c r="A141" s="20"/>
      <c r="B141" s="20"/>
      <c r="C141" s="20"/>
      <c r="D141" s="20"/>
      <c r="E141" s="20"/>
      <c r="F141" s="20"/>
      <c r="G141" s="20"/>
      <c r="H141" s="20"/>
      <c r="I141" s="20"/>
      <c r="J141" s="48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x14ac:dyDescent="0.25">
      <c r="A142" s="20"/>
      <c r="B142" s="20"/>
      <c r="C142" s="20"/>
      <c r="D142" s="20"/>
      <c r="E142" s="20"/>
      <c r="F142" s="20"/>
      <c r="G142" s="20"/>
      <c r="H142" s="20"/>
      <c r="I142" s="20"/>
      <c r="J142" s="48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x14ac:dyDescent="0.25">
      <c r="A143" s="20"/>
      <c r="B143" s="20"/>
      <c r="C143" s="20"/>
      <c r="D143" s="20"/>
      <c r="E143" s="20"/>
      <c r="F143" s="20"/>
      <c r="G143" s="20"/>
      <c r="H143" s="20"/>
      <c r="I143" s="20"/>
      <c r="J143" s="48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x14ac:dyDescent="0.25">
      <c r="A144" s="20"/>
      <c r="B144" s="20"/>
      <c r="C144" s="20"/>
      <c r="D144" s="20"/>
      <c r="E144" s="20"/>
      <c r="F144" s="20"/>
      <c r="G144" s="20"/>
      <c r="H144" s="20"/>
      <c r="I144" s="20"/>
      <c r="J144" s="48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x14ac:dyDescent="0.25">
      <c r="A145" s="20"/>
      <c r="B145" s="20"/>
      <c r="C145" s="20"/>
      <c r="D145" s="20"/>
      <c r="E145" s="20"/>
      <c r="F145" s="20"/>
      <c r="G145" s="20"/>
      <c r="H145" s="20"/>
      <c r="I145" s="20"/>
      <c r="J145" s="48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x14ac:dyDescent="0.25">
      <c r="A146" s="20"/>
      <c r="B146" s="20"/>
      <c r="C146" s="20"/>
      <c r="D146" s="20"/>
      <c r="E146" s="20"/>
      <c r="F146" s="20"/>
      <c r="G146" s="20"/>
      <c r="H146" s="20"/>
      <c r="I146" s="20"/>
      <c r="J146" s="48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x14ac:dyDescent="0.25">
      <c r="A147" s="20"/>
      <c r="B147" s="20"/>
      <c r="C147" s="20"/>
      <c r="D147" s="20"/>
      <c r="E147" s="20"/>
      <c r="F147" s="20"/>
      <c r="G147" s="20"/>
      <c r="H147" s="20"/>
      <c r="I147" s="20"/>
      <c r="J147" s="48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x14ac:dyDescent="0.25">
      <c r="A148" s="20"/>
      <c r="B148" s="20"/>
      <c r="C148" s="20"/>
      <c r="D148" s="20"/>
      <c r="E148" s="20"/>
      <c r="F148" s="20"/>
      <c r="G148" s="20"/>
      <c r="H148" s="20"/>
      <c r="I148" s="20"/>
      <c r="J148" s="48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x14ac:dyDescent="0.25">
      <c r="A149" s="20"/>
      <c r="B149" s="20"/>
      <c r="C149" s="20"/>
      <c r="D149" s="20"/>
      <c r="E149" s="20"/>
      <c r="F149" s="20"/>
      <c r="G149" s="20"/>
      <c r="H149" s="20"/>
      <c r="I149" s="20"/>
      <c r="J149" s="48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x14ac:dyDescent="0.25">
      <c r="A150" s="20"/>
      <c r="B150" s="20"/>
      <c r="C150" s="20"/>
      <c r="D150" s="20"/>
      <c r="E150" s="20"/>
      <c r="F150" s="20"/>
      <c r="G150" s="20"/>
      <c r="H150" s="20"/>
      <c r="I150" s="20"/>
      <c r="J150" s="48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x14ac:dyDescent="0.25">
      <c r="A151" s="20"/>
      <c r="B151" s="20"/>
      <c r="C151" s="20"/>
      <c r="D151" s="20"/>
      <c r="E151" s="20"/>
      <c r="F151" s="20"/>
      <c r="G151" s="20"/>
      <c r="H151" s="20"/>
      <c r="I151" s="20"/>
      <c r="J151" s="48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x14ac:dyDescent="0.25">
      <c r="A152" s="20"/>
      <c r="B152" s="20"/>
      <c r="C152" s="20"/>
      <c r="D152" s="20"/>
      <c r="E152" s="20"/>
      <c r="F152" s="20"/>
      <c r="G152" s="20"/>
      <c r="H152" s="20"/>
      <c r="I152" s="20"/>
      <c r="J152" s="48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x14ac:dyDescent="0.25">
      <c r="A153" s="20"/>
      <c r="B153" s="20"/>
      <c r="C153" s="20"/>
      <c r="D153" s="20"/>
      <c r="E153" s="20"/>
      <c r="F153" s="20"/>
      <c r="G153" s="20"/>
      <c r="H153" s="20"/>
      <c r="I153" s="20"/>
      <c r="J153" s="48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x14ac:dyDescent="0.25">
      <c r="A154" s="20"/>
      <c r="B154" s="20"/>
      <c r="C154" s="20"/>
      <c r="D154" s="20"/>
      <c r="E154" s="20"/>
      <c r="F154" s="20"/>
      <c r="G154" s="20"/>
      <c r="H154" s="20"/>
      <c r="I154" s="20"/>
      <c r="J154" s="48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x14ac:dyDescent="0.25">
      <c r="A155" s="20"/>
      <c r="B155" s="20"/>
      <c r="C155" s="20"/>
      <c r="D155" s="20"/>
      <c r="E155" s="20"/>
      <c r="F155" s="20"/>
      <c r="G155" s="20"/>
      <c r="H155" s="20"/>
      <c r="I155" s="20"/>
      <c r="J155" s="48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x14ac:dyDescent="0.25">
      <c r="A156" s="20"/>
      <c r="B156" s="20"/>
      <c r="C156" s="20"/>
      <c r="D156" s="20"/>
      <c r="E156" s="20"/>
      <c r="F156" s="20"/>
      <c r="G156" s="20"/>
      <c r="H156" s="20"/>
      <c r="I156" s="20"/>
      <c r="J156" s="48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x14ac:dyDescent="0.25">
      <c r="A157" s="20"/>
      <c r="B157" s="20"/>
      <c r="C157" s="20"/>
      <c r="D157" s="20"/>
      <c r="E157" s="20"/>
      <c r="F157" s="20"/>
      <c r="G157" s="20"/>
      <c r="H157" s="20"/>
      <c r="I157" s="20"/>
      <c r="J157" s="48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x14ac:dyDescent="0.25">
      <c r="A158" s="20"/>
      <c r="B158" s="20"/>
      <c r="C158" s="20"/>
      <c r="D158" s="20"/>
      <c r="E158" s="20"/>
      <c r="F158" s="20"/>
      <c r="G158" s="20"/>
      <c r="H158" s="20"/>
      <c r="I158" s="20"/>
      <c r="J158" s="48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x14ac:dyDescent="0.25">
      <c r="A159" s="20"/>
      <c r="B159" s="20"/>
      <c r="C159" s="20"/>
      <c r="D159" s="20"/>
      <c r="E159" s="20"/>
      <c r="F159" s="20"/>
      <c r="G159" s="20"/>
      <c r="H159" s="20"/>
      <c r="I159" s="20"/>
      <c r="J159" s="48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x14ac:dyDescent="0.25">
      <c r="A160" s="20"/>
      <c r="B160" s="20"/>
      <c r="C160" s="20"/>
      <c r="D160" s="20"/>
      <c r="E160" s="20"/>
      <c r="F160" s="20"/>
      <c r="G160" s="20"/>
      <c r="H160" s="20"/>
      <c r="I160" s="20"/>
      <c r="J160" s="48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x14ac:dyDescent="0.25">
      <c r="A161" s="20"/>
      <c r="B161" s="20"/>
      <c r="C161" s="20"/>
      <c r="D161" s="20"/>
      <c r="E161" s="20"/>
      <c r="F161" s="20"/>
      <c r="G161" s="20"/>
      <c r="H161" s="20"/>
      <c r="I161" s="20"/>
      <c r="J161" s="48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x14ac:dyDescent="0.25">
      <c r="A162" s="20"/>
      <c r="B162" s="20"/>
      <c r="C162" s="20"/>
      <c r="D162" s="20"/>
      <c r="E162" s="20"/>
      <c r="F162" s="20"/>
      <c r="G162" s="20"/>
      <c r="H162" s="20"/>
      <c r="I162" s="20"/>
      <c r="J162" s="48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x14ac:dyDescent="0.25">
      <c r="A163" s="20"/>
      <c r="B163" s="20"/>
      <c r="C163" s="20"/>
      <c r="D163" s="20"/>
      <c r="E163" s="20"/>
      <c r="F163" s="20"/>
      <c r="G163" s="20"/>
      <c r="H163" s="20"/>
      <c r="I163" s="20"/>
      <c r="J163" s="48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x14ac:dyDescent="0.25">
      <c r="A164" s="20"/>
      <c r="B164" s="20"/>
      <c r="C164" s="20"/>
      <c r="D164" s="20"/>
      <c r="E164" s="20"/>
      <c r="F164" s="20"/>
      <c r="G164" s="20"/>
      <c r="H164" s="20"/>
      <c r="I164" s="20"/>
      <c r="J164" s="48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x14ac:dyDescent="0.25">
      <c r="A165" s="20"/>
      <c r="B165" s="20"/>
      <c r="C165" s="20"/>
      <c r="D165" s="20"/>
      <c r="E165" s="20"/>
      <c r="F165" s="20"/>
      <c r="G165" s="20"/>
      <c r="H165" s="20"/>
      <c r="I165" s="20"/>
      <c r="J165" s="48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x14ac:dyDescent="0.25">
      <c r="A166" s="20"/>
      <c r="B166" s="20"/>
      <c r="C166" s="20"/>
      <c r="D166" s="20"/>
      <c r="E166" s="20"/>
      <c r="F166" s="20"/>
      <c r="G166" s="20"/>
      <c r="H166" s="20"/>
      <c r="I166" s="20"/>
      <c r="J166" s="48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x14ac:dyDescent="0.25">
      <c r="A167" s="20"/>
      <c r="B167" s="20"/>
      <c r="C167" s="20"/>
      <c r="D167" s="20"/>
      <c r="E167" s="20"/>
      <c r="F167" s="20"/>
      <c r="G167" s="20"/>
      <c r="H167" s="20"/>
      <c r="I167" s="20"/>
      <c r="J167" s="48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x14ac:dyDescent="0.25">
      <c r="A168" s="20"/>
      <c r="B168" s="20"/>
      <c r="C168" s="20"/>
      <c r="D168" s="20"/>
      <c r="E168" s="20"/>
      <c r="F168" s="20"/>
      <c r="G168" s="20"/>
      <c r="H168" s="20"/>
      <c r="I168" s="20"/>
      <c r="J168" s="48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x14ac:dyDescent="0.25">
      <c r="A169" s="20"/>
      <c r="B169" s="20"/>
      <c r="C169" s="20"/>
      <c r="D169" s="20"/>
      <c r="E169" s="20"/>
      <c r="F169" s="20"/>
      <c r="G169" s="20"/>
      <c r="H169" s="20"/>
      <c r="I169" s="20"/>
      <c r="J169" s="48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x14ac:dyDescent="0.25">
      <c r="A170" s="20"/>
      <c r="B170" s="20"/>
      <c r="C170" s="20"/>
      <c r="D170" s="20"/>
      <c r="E170" s="20"/>
      <c r="F170" s="20"/>
      <c r="G170" s="20"/>
      <c r="H170" s="20"/>
      <c r="I170" s="20"/>
      <c r="J170" s="48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x14ac:dyDescent="0.25">
      <c r="A171" s="20"/>
      <c r="B171" s="20"/>
      <c r="C171" s="20"/>
      <c r="D171" s="20"/>
      <c r="E171" s="20"/>
      <c r="F171" s="20"/>
      <c r="G171" s="20"/>
      <c r="H171" s="20"/>
      <c r="I171" s="20"/>
      <c r="J171" s="48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x14ac:dyDescent="0.25">
      <c r="A172" s="20"/>
      <c r="B172" s="20"/>
      <c r="C172" s="20"/>
      <c r="D172" s="20"/>
      <c r="E172" s="20"/>
      <c r="F172" s="20"/>
      <c r="G172" s="20"/>
      <c r="H172" s="20"/>
      <c r="I172" s="20"/>
      <c r="J172" s="48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x14ac:dyDescent="0.25">
      <c r="A173" s="20"/>
      <c r="B173" s="20"/>
      <c r="C173" s="20"/>
      <c r="D173" s="20"/>
      <c r="E173" s="20"/>
      <c r="F173" s="20"/>
      <c r="G173" s="20"/>
      <c r="H173" s="20"/>
      <c r="I173" s="20"/>
      <c r="J173" s="48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x14ac:dyDescent="0.25">
      <c r="A174" s="20"/>
      <c r="B174" s="20"/>
      <c r="C174" s="20"/>
      <c r="D174" s="20"/>
      <c r="E174" s="20"/>
      <c r="F174" s="20"/>
      <c r="G174" s="20"/>
      <c r="H174" s="20"/>
      <c r="I174" s="20"/>
      <c r="J174" s="48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x14ac:dyDescent="0.25">
      <c r="A175" s="20"/>
      <c r="B175" s="20"/>
      <c r="C175" s="20"/>
      <c r="D175" s="20"/>
      <c r="E175" s="20"/>
      <c r="F175" s="20"/>
      <c r="G175" s="20"/>
      <c r="H175" s="20"/>
      <c r="I175" s="20"/>
      <c r="J175" s="48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x14ac:dyDescent="0.25">
      <c r="A176" s="20"/>
      <c r="B176" s="20"/>
      <c r="C176" s="20"/>
      <c r="D176" s="20"/>
      <c r="E176" s="20"/>
      <c r="F176" s="20"/>
      <c r="G176" s="20"/>
      <c r="H176" s="20"/>
      <c r="I176" s="20"/>
      <c r="J176" s="48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x14ac:dyDescent="0.25">
      <c r="A177" s="20"/>
      <c r="B177" s="20"/>
      <c r="C177" s="20"/>
      <c r="D177" s="20"/>
      <c r="E177" s="20"/>
      <c r="F177" s="20"/>
      <c r="G177" s="20"/>
      <c r="H177" s="20"/>
      <c r="I177" s="20"/>
      <c r="J177" s="48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x14ac:dyDescent="0.25">
      <c r="A178" s="20"/>
      <c r="B178" s="20"/>
      <c r="C178" s="20"/>
      <c r="D178" s="20"/>
      <c r="E178" s="20"/>
      <c r="F178" s="20"/>
      <c r="G178" s="20"/>
      <c r="H178" s="20"/>
      <c r="I178" s="20"/>
      <c r="J178" s="48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x14ac:dyDescent="0.25">
      <c r="A179" s="20"/>
      <c r="B179" s="20"/>
      <c r="C179" s="20"/>
      <c r="D179" s="20"/>
      <c r="E179" s="20"/>
      <c r="F179" s="20"/>
      <c r="G179" s="20"/>
      <c r="H179" s="20"/>
      <c r="I179" s="20"/>
      <c r="J179" s="48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x14ac:dyDescent="0.25">
      <c r="A180" s="20"/>
      <c r="B180" s="20"/>
      <c r="C180" s="20"/>
      <c r="D180" s="20"/>
      <c r="E180" s="20"/>
      <c r="F180" s="20"/>
      <c r="G180" s="20"/>
      <c r="H180" s="20"/>
      <c r="I180" s="20"/>
      <c r="J180" s="48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x14ac:dyDescent="0.25">
      <c r="A181" s="20"/>
      <c r="B181" s="20"/>
      <c r="C181" s="20"/>
      <c r="D181" s="20"/>
      <c r="E181" s="20"/>
      <c r="F181" s="20"/>
      <c r="G181" s="20"/>
      <c r="H181" s="20"/>
      <c r="I181" s="20"/>
      <c r="J181" s="48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x14ac:dyDescent="0.25">
      <c r="A182" s="20"/>
      <c r="B182" s="20"/>
      <c r="C182" s="20"/>
      <c r="D182" s="20"/>
      <c r="E182" s="20"/>
      <c r="F182" s="20"/>
      <c r="G182" s="20"/>
      <c r="H182" s="20"/>
      <c r="I182" s="20"/>
      <c r="J182" s="48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x14ac:dyDescent="0.25">
      <c r="A183" s="20"/>
      <c r="B183" s="20"/>
      <c r="C183" s="20"/>
      <c r="D183" s="20"/>
      <c r="E183" s="20"/>
      <c r="F183" s="20"/>
      <c r="G183" s="20"/>
      <c r="H183" s="20"/>
      <c r="I183" s="20"/>
      <c r="J183" s="48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x14ac:dyDescent="0.25">
      <c r="A184" s="20"/>
      <c r="B184" s="20"/>
      <c r="C184" s="20"/>
      <c r="D184" s="20"/>
      <c r="E184" s="20"/>
      <c r="F184" s="20"/>
      <c r="G184" s="20"/>
      <c r="H184" s="20"/>
      <c r="I184" s="20"/>
      <c r="J184" s="48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x14ac:dyDescent="0.25">
      <c r="A185" s="20"/>
      <c r="B185" s="20"/>
      <c r="C185" s="20"/>
      <c r="D185" s="20"/>
      <c r="E185" s="20"/>
      <c r="F185" s="20"/>
      <c r="G185" s="20"/>
      <c r="H185" s="20"/>
      <c r="I185" s="20"/>
      <c r="J185" s="48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x14ac:dyDescent="0.25">
      <c r="A186" s="20"/>
      <c r="B186" s="20"/>
      <c r="C186" s="20"/>
      <c r="D186" s="20"/>
      <c r="E186" s="20"/>
      <c r="F186" s="20"/>
      <c r="G186" s="20"/>
      <c r="H186" s="20"/>
      <c r="I186" s="20"/>
      <c r="J186" s="48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x14ac:dyDescent="0.25">
      <c r="A187" s="20"/>
      <c r="B187" s="20"/>
      <c r="C187" s="20"/>
      <c r="D187" s="20"/>
      <c r="E187" s="20"/>
      <c r="F187" s="20"/>
      <c r="G187" s="20"/>
      <c r="H187" s="20"/>
      <c r="I187" s="20"/>
      <c r="J187" s="48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x14ac:dyDescent="0.25">
      <c r="A188" s="20"/>
      <c r="B188" s="20"/>
      <c r="C188" s="20"/>
      <c r="D188" s="20"/>
      <c r="E188" s="20"/>
      <c r="F188" s="20"/>
      <c r="G188" s="20"/>
      <c r="H188" s="20"/>
      <c r="I188" s="20"/>
      <c r="J188" s="48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x14ac:dyDescent="0.25">
      <c r="A189" s="20"/>
      <c r="B189" s="20"/>
      <c r="C189" s="20"/>
      <c r="D189" s="20"/>
      <c r="E189" s="20"/>
      <c r="F189" s="20"/>
      <c r="G189" s="20"/>
      <c r="H189" s="20"/>
      <c r="I189" s="20"/>
      <c r="J189" s="48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x14ac:dyDescent="0.25">
      <c r="A190" s="20"/>
      <c r="B190" s="20"/>
      <c r="C190" s="20"/>
      <c r="D190" s="20"/>
      <c r="E190" s="20"/>
      <c r="F190" s="20"/>
      <c r="G190" s="20"/>
      <c r="H190" s="20"/>
      <c r="I190" s="20"/>
      <c r="J190" s="48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x14ac:dyDescent="0.25">
      <c r="A191" s="20"/>
      <c r="B191" s="20"/>
      <c r="C191" s="20"/>
      <c r="D191" s="20"/>
      <c r="E191" s="20"/>
      <c r="F191" s="20"/>
      <c r="G191" s="20"/>
      <c r="H191" s="20"/>
      <c r="I191" s="20"/>
      <c r="J191" s="48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x14ac:dyDescent="0.25">
      <c r="A192" s="20"/>
      <c r="B192" s="20"/>
      <c r="C192" s="20"/>
      <c r="D192" s="20"/>
      <c r="E192" s="20"/>
      <c r="F192" s="20"/>
      <c r="G192" s="20"/>
      <c r="H192" s="20"/>
      <c r="I192" s="20"/>
      <c r="J192" s="48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x14ac:dyDescent="0.25">
      <c r="A193" s="20"/>
      <c r="B193" s="20"/>
      <c r="C193" s="20"/>
      <c r="D193" s="20"/>
      <c r="E193" s="20"/>
      <c r="F193" s="20"/>
      <c r="G193" s="20"/>
      <c r="H193" s="20"/>
      <c r="I193" s="20"/>
      <c r="J193" s="48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x14ac:dyDescent="0.25">
      <c r="A194" s="20"/>
      <c r="B194" s="20"/>
      <c r="C194" s="20"/>
      <c r="D194" s="20"/>
      <c r="E194" s="20"/>
      <c r="F194" s="20"/>
      <c r="G194" s="20"/>
      <c r="H194" s="20"/>
      <c r="I194" s="20"/>
      <c r="J194" s="48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x14ac:dyDescent="0.25">
      <c r="A195" s="20"/>
      <c r="B195" s="20"/>
      <c r="C195" s="20"/>
      <c r="D195" s="20"/>
      <c r="E195" s="20"/>
      <c r="F195" s="20"/>
      <c r="G195" s="20"/>
      <c r="H195" s="20"/>
      <c r="I195" s="20"/>
      <c r="J195" s="48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idden="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idden="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idden="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idden="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idden="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idden="1" x14ac:dyDescent="0.25"/>
    <row r="202" spans="1:52" hidden="1" x14ac:dyDescent="0.25"/>
    <row r="203" spans="1:52" hidden="1" x14ac:dyDescent="0.25"/>
    <row r="204" spans="1:52" s="27" customFormat="1" hidden="1" x14ac:dyDescent="0.25">
      <c r="A204" s="21"/>
      <c r="B204" s="21"/>
      <c r="C204" s="21"/>
      <c r="D204" s="21"/>
      <c r="E204" s="21"/>
      <c r="F204" s="21"/>
      <c r="G204" s="21"/>
      <c r="H204" s="21"/>
      <c r="I204" s="21"/>
      <c r="J204" s="479"/>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idden="1" x14ac:dyDescent="0.25">
      <c r="A205" s="21"/>
      <c r="B205" s="21"/>
      <c r="C205" s="21"/>
      <c r="D205" s="21"/>
      <c r="E205" s="21"/>
      <c r="F205" s="21"/>
      <c r="G205" s="21"/>
      <c r="H205" s="21"/>
      <c r="I205" s="21"/>
      <c r="J205" s="479"/>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idden="1" x14ac:dyDescent="0.25">
      <c r="A206" s="21"/>
      <c r="B206" s="21"/>
      <c r="C206" s="21"/>
      <c r="D206" s="21"/>
      <c r="E206" s="21"/>
      <c r="F206" s="21"/>
      <c r="G206" s="21"/>
      <c r="H206" s="21"/>
      <c r="I206" s="21"/>
      <c r="J206" s="479"/>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hidden="1" x14ac:dyDescent="0.25"/>
    <row r="208" spans="1:52" hidden="1" x14ac:dyDescent="0.25"/>
    <row r="209" hidden="1" x14ac:dyDescent="0.25"/>
    <row r="210" hidden="1" x14ac:dyDescent="0.25"/>
    <row r="211" hidden="1" x14ac:dyDescent="0.25"/>
    <row r="212" x14ac:dyDescent="0.25"/>
    <row r="213" x14ac:dyDescent="0.25"/>
    <row r="214" x14ac:dyDescent="0.25"/>
    <row r="215" x14ac:dyDescent="0.25"/>
    <row r="216" x14ac:dyDescent="0.25"/>
  </sheetData>
  <conditionalFormatting sqref="B1">
    <cfRule type="cellIs" dxfId="104" priority="1" operator="equal">
      <formula>"Review Later"</formula>
    </cfRule>
    <cfRule type="cellIs" dxfId="103" priority="2" operator="equal">
      <formula>"Finished"</formula>
    </cfRule>
    <cfRule type="cellIs" dxfId="102" priority="3" operator="equal">
      <formula>"Incomplete"</formula>
    </cfRule>
  </conditionalFormatting>
  <pageMargins left="0.75" right="0.75" top="1" bottom="1" header="0.5" footer="0.5"/>
  <pageSetup orientation="portrait" horizontalDpi="4294967292" verticalDpi="429496729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C216"/>
  <sheetViews>
    <sheetView zoomScaleNormal="100" zoomScalePageLayoutView="70" workbookViewId="0"/>
  </sheetViews>
  <sheetFormatPr defaultColWidth="0" defaultRowHeight="13.8" zeroHeight="1" x14ac:dyDescent="0.25"/>
  <cols>
    <col min="1" max="1" width="11.6640625" style="21" customWidth="1"/>
    <col min="2" max="2" width="14.44140625" style="21" customWidth="1"/>
    <col min="3" max="3" width="17.33203125" style="21" customWidth="1"/>
    <col min="4" max="4" width="19.44140625" style="21" customWidth="1"/>
    <col min="5" max="5" width="14.44140625" style="21" customWidth="1"/>
    <col min="6" max="6" width="13.109375" style="21" customWidth="1"/>
    <col min="7" max="7" width="10.6640625" style="21" bestFit="1" customWidth="1"/>
    <col min="8" max="9" width="10.6640625" style="21" customWidth="1"/>
    <col min="10" max="10" width="19.33203125" style="21" customWidth="1"/>
    <col min="11" max="11" width="14.44140625" style="21" customWidth="1"/>
    <col min="12" max="52" width="10.6640625" style="21" customWidth="1"/>
    <col min="53" max="55" width="0" style="21" hidden="1" customWidth="1"/>
    <col min="56" max="16384" width="10.6640625" style="21" hidden="1"/>
  </cols>
  <sheetData>
    <row r="1" spans="1:52" ht="14.4" thickBot="1" x14ac:dyDescent="0.3">
      <c r="A1" s="3">
        <v>15</v>
      </c>
      <c r="B1" s="4"/>
      <c r="C1" s="246"/>
      <c r="D1" s="246"/>
      <c r="E1" s="246"/>
      <c r="F1" s="246"/>
      <c r="G1" s="247"/>
      <c r="H1" s="20"/>
      <c r="I1" s="20"/>
      <c r="J1" s="20"/>
      <c r="K1" s="20"/>
      <c r="L1" s="20"/>
      <c r="M1" s="20"/>
      <c r="N1" s="20"/>
      <c r="O1" s="20"/>
      <c r="P1" s="20"/>
      <c r="Q1" s="20"/>
      <c r="R1" s="20"/>
      <c r="S1" s="20"/>
      <c r="T1" s="20"/>
      <c r="U1" s="20"/>
      <c r="V1" s="20"/>
      <c r="W1" s="20"/>
    </row>
    <row r="2" spans="1:52" x14ac:dyDescent="0.25">
      <c r="A2" s="8" t="s">
        <v>4</v>
      </c>
      <c r="B2" s="374"/>
      <c r="C2" s="374"/>
      <c r="D2" s="374"/>
      <c r="E2" s="374"/>
      <c r="F2" s="374"/>
      <c r="G2" s="375"/>
      <c r="H2" s="20"/>
      <c r="I2" s="20"/>
      <c r="J2" s="20"/>
      <c r="K2" s="20"/>
      <c r="L2" s="20"/>
      <c r="M2" s="20"/>
      <c r="N2" s="20"/>
      <c r="O2" s="20"/>
      <c r="P2" s="20"/>
      <c r="Q2" s="20"/>
      <c r="R2" s="20"/>
      <c r="S2" s="20"/>
      <c r="T2" s="20"/>
      <c r="U2" s="20"/>
      <c r="V2" s="20"/>
      <c r="W2" s="20"/>
    </row>
    <row r="3" spans="1:52" x14ac:dyDescent="0.25">
      <c r="A3" s="11">
        <v>2.75</v>
      </c>
      <c r="B3" s="9"/>
      <c r="C3" s="374"/>
      <c r="D3" s="374"/>
      <c r="E3" s="374"/>
      <c r="F3" s="374"/>
      <c r="G3" s="375"/>
      <c r="H3" s="20"/>
      <c r="I3" s="20"/>
      <c r="J3" s="20"/>
      <c r="K3" s="20"/>
      <c r="L3" s="20"/>
      <c r="M3" s="20"/>
      <c r="N3" s="20"/>
      <c r="O3" s="20"/>
      <c r="P3" s="20"/>
      <c r="Q3" s="20"/>
      <c r="R3" s="20"/>
      <c r="S3" s="20"/>
      <c r="T3" s="20"/>
      <c r="U3" s="20"/>
      <c r="V3" s="20"/>
      <c r="W3" s="20"/>
    </row>
    <row r="4" spans="1:52" x14ac:dyDescent="0.25">
      <c r="A4" s="11"/>
      <c r="B4" s="270" t="s">
        <v>609</v>
      </c>
      <c r="C4" s="481"/>
      <c r="D4" s="481"/>
      <c r="E4" s="270"/>
      <c r="F4" s="374"/>
      <c r="G4" s="375"/>
      <c r="H4" s="20"/>
      <c r="I4" s="20"/>
      <c r="J4" s="20"/>
      <c r="K4" s="20"/>
      <c r="L4" s="20"/>
      <c r="M4" s="20"/>
      <c r="N4" s="20"/>
      <c r="O4" s="20"/>
      <c r="P4" s="20"/>
      <c r="Q4" s="20"/>
      <c r="R4" s="20"/>
      <c r="S4" s="20"/>
      <c r="T4" s="20"/>
      <c r="U4" s="20"/>
      <c r="V4" s="20"/>
      <c r="W4" s="20"/>
    </row>
    <row r="5" spans="1:52" ht="14.4" thickBot="1" x14ac:dyDescent="0.3">
      <c r="A5" s="11"/>
      <c r="B5" s="270"/>
      <c r="C5" s="481"/>
      <c r="D5" s="481"/>
      <c r="E5" s="270"/>
      <c r="F5" s="374"/>
      <c r="G5" s="375"/>
      <c r="H5" s="20"/>
      <c r="I5" s="20"/>
      <c r="J5" s="20"/>
      <c r="K5" s="20"/>
      <c r="L5" s="20"/>
      <c r="M5" s="20"/>
      <c r="N5" s="20"/>
      <c r="O5" s="20"/>
      <c r="P5" s="20"/>
      <c r="Q5" s="20"/>
      <c r="R5" s="20"/>
      <c r="S5" s="20"/>
      <c r="T5" s="20"/>
      <c r="U5" s="20"/>
      <c r="V5" s="20"/>
      <c r="W5" s="20"/>
    </row>
    <row r="6" spans="1:52" ht="28.2" thickBot="1" x14ac:dyDescent="0.3">
      <c r="A6" s="11"/>
      <c r="B6" s="482" t="s">
        <v>612</v>
      </c>
      <c r="C6" s="483" t="s">
        <v>613</v>
      </c>
      <c r="D6" s="483" t="s">
        <v>614</v>
      </c>
      <c r="E6" s="484" t="s">
        <v>615</v>
      </c>
      <c r="F6" s="374"/>
      <c r="G6" s="375"/>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x14ac:dyDescent="0.25">
      <c r="A7" s="11"/>
      <c r="B7" s="485">
        <v>2015</v>
      </c>
      <c r="C7" s="486">
        <v>10000</v>
      </c>
      <c r="D7" s="486">
        <v>120000</v>
      </c>
      <c r="E7" s="487">
        <v>2000000</v>
      </c>
      <c r="F7" s="374"/>
      <c r="G7" s="375"/>
      <c r="H7" s="20"/>
      <c r="I7" s="20" t="s">
        <v>0</v>
      </c>
      <c r="J7" s="20" t="s">
        <v>640</v>
      </c>
      <c r="K7" s="480">
        <f>E10/100*B12</f>
        <v>204912.5</v>
      </c>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x14ac:dyDescent="0.25">
      <c r="A8" s="11"/>
      <c r="B8" s="488">
        <v>2016</v>
      </c>
      <c r="C8" s="489">
        <v>10000</v>
      </c>
      <c r="D8" s="489">
        <v>80000</v>
      </c>
      <c r="E8" s="490">
        <v>2100000</v>
      </c>
      <c r="F8" s="374"/>
      <c r="G8" s="375"/>
      <c r="H8" s="20"/>
      <c r="I8" s="20"/>
      <c r="J8" s="20" t="s">
        <v>641</v>
      </c>
      <c r="K8" s="480">
        <f>B13*K7</f>
        <v>40982.5</v>
      </c>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x14ac:dyDescent="0.25">
      <c r="A9" s="11"/>
      <c r="B9" s="488">
        <v>2017</v>
      </c>
      <c r="C9" s="489">
        <v>10000</v>
      </c>
      <c r="D9" s="489">
        <v>60000</v>
      </c>
      <c r="E9" s="490">
        <v>2205000</v>
      </c>
      <c r="F9" s="374"/>
      <c r="G9" s="375"/>
      <c r="H9" s="20"/>
      <c r="I9" s="20"/>
      <c r="J9" s="20" t="s">
        <v>642</v>
      </c>
      <c r="K9" s="306">
        <f>(1-B13)*K7</f>
        <v>163930</v>
      </c>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 thickBot="1" x14ac:dyDescent="0.3">
      <c r="A10" s="11"/>
      <c r="B10" s="491" t="s">
        <v>323</v>
      </c>
      <c r="C10" s="492">
        <v>30000</v>
      </c>
      <c r="D10" s="492">
        <v>260000</v>
      </c>
      <c r="E10" s="493">
        <v>6305000</v>
      </c>
      <c r="F10" s="374"/>
      <c r="G10" s="375"/>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 thickBot="1" x14ac:dyDescent="0.3">
      <c r="A11" s="11"/>
      <c r="B11" s="494"/>
      <c r="C11" s="495"/>
      <c r="D11" s="495"/>
      <c r="E11" s="495"/>
      <c r="F11" s="374"/>
      <c r="G11" s="375"/>
      <c r="H11" s="20"/>
      <c r="I11" s="20"/>
      <c r="J11" s="20" t="s">
        <v>643</v>
      </c>
      <c r="K11" s="307">
        <f>K7/(K7+B14)</f>
        <v>0.83667636400755374</v>
      </c>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x14ac:dyDescent="0.25">
      <c r="A12" s="11"/>
      <c r="B12" s="496">
        <v>3.25</v>
      </c>
      <c r="C12" s="497" t="s">
        <v>618</v>
      </c>
      <c r="D12" s="498"/>
      <c r="E12" s="246"/>
      <c r="F12" s="499"/>
      <c r="G12" s="375"/>
      <c r="H12" s="20"/>
      <c r="I12" s="20"/>
      <c r="J12" s="20" t="s">
        <v>644</v>
      </c>
      <c r="K12" s="513">
        <f>B15*K11</f>
        <v>0.25100290920226609</v>
      </c>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x14ac:dyDescent="0.25">
      <c r="A13" s="11"/>
      <c r="B13" s="500">
        <v>0.2</v>
      </c>
      <c r="C13" s="501" t="s">
        <v>619</v>
      </c>
      <c r="D13" s="502"/>
      <c r="E13" s="270"/>
      <c r="F13" s="375"/>
      <c r="G13" s="375"/>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x14ac:dyDescent="0.25">
      <c r="A14" s="11"/>
      <c r="B14" s="503">
        <v>40000</v>
      </c>
      <c r="C14" s="501" t="s">
        <v>621</v>
      </c>
      <c r="D14" s="502"/>
      <c r="E14" s="270"/>
      <c r="F14" s="375"/>
      <c r="G14" s="375"/>
      <c r="H14" s="20"/>
      <c r="I14" s="20"/>
      <c r="J14" s="20" t="s">
        <v>645</v>
      </c>
      <c r="K14" s="514">
        <f>(K11*C10+(1-K11)*K8+K12*D10+(1-K12)*K9)/K7</f>
        <v>1.0728362170162813</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x14ac:dyDescent="0.25">
      <c r="A15" s="11"/>
      <c r="B15" s="500">
        <v>0.3</v>
      </c>
      <c r="C15" s="501" t="s">
        <v>622</v>
      </c>
      <c r="D15" s="502"/>
      <c r="E15" s="270"/>
      <c r="F15" s="375"/>
      <c r="G15" s="375"/>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x14ac:dyDescent="0.25">
      <c r="A16" s="11"/>
      <c r="B16" s="504">
        <v>0.7</v>
      </c>
      <c r="C16" s="505" t="s">
        <v>623</v>
      </c>
      <c r="D16" s="505"/>
      <c r="E16" s="505"/>
      <c r="F16" s="271"/>
      <c r="G16" s="375"/>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x14ac:dyDescent="0.25">
      <c r="A17" s="11"/>
      <c r="B17" s="500">
        <v>1.3</v>
      </c>
      <c r="C17" s="506" t="s">
        <v>625</v>
      </c>
      <c r="D17" s="506"/>
      <c r="E17" s="506"/>
      <c r="F17" s="271"/>
      <c r="G17" s="375"/>
      <c r="H17" s="20"/>
      <c r="I17" s="20" t="s">
        <v>1</v>
      </c>
      <c r="J17" s="20" t="s">
        <v>646</v>
      </c>
      <c r="K17" s="480">
        <f>B21*B23</f>
        <v>560000</v>
      </c>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x14ac:dyDescent="0.25">
      <c r="A18" s="11"/>
      <c r="B18" s="500">
        <v>1.1000000000000001</v>
      </c>
      <c r="C18" s="506" t="s">
        <v>627</v>
      </c>
      <c r="D18" s="506"/>
      <c r="E18" s="506"/>
      <c r="F18" s="271"/>
      <c r="G18" s="375"/>
      <c r="H18" s="20"/>
      <c r="I18" s="20"/>
      <c r="J18" s="20" t="s">
        <v>647</v>
      </c>
      <c r="K18" s="515">
        <f>B20*B23</f>
        <v>200000</v>
      </c>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x14ac:dyDescent="0.25">
      <c r="A19" s="11"/>
      <c r="B19" s="507">
        <v>100000</v>
      </c>
      <c r="C19" s="506" t="s">
        <v>629</v>
      </c>
      <c r="D19" s="506"/>
      <c r="E19" s="506"/>
      <c r="F19" s="271"/>
      <c r="G19" s="375"/>
      <c r="H19" s="20"/>
      <c r="I19" s="20"/>
      <c r="J19" s="20" t="s">
        <v>648</v>
      </c>
      <c r="K19" s="516">
        <f>B18</f>
        <v>1.1000000000000001</v>
      </c>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x14ac:dyDescent="0.25">
      <c r="A20" s="11"/>
      <c r="B20" s="500">
        <v>0.25</v>
      </c>
      <c r="C20" s="508" t="s">
        <v>630</v>
      </c>
      <c r="D20" s="508"/>
      <c r="E20" s="508"/>
      <c r="F20" s="271"/>
      <c r="G20" s="375"/>
      <c r="H20" s="20"/>
      <c r="I20" s="20"/>
      <c r="J20" s="20" t="s">
        <v>649</v>
      </c>
      <c r="K20" s="480">
        <f>(B24-B25)*K17</f>
        <v>196000.00000000003</v>
      </c>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x14ac:dyDescent="0.25">
      <c r="A21" s="11"/>
      <c r="B21" s="500">
        <v>0.7</v>
      </c>
      <c r="C21" s="508" t="s">
        <v>631</v>
      </c>
      <c r="D21" s="508"/>
      <c r="E21" s="508"/>
      <c r="F21" s="271"/>
      <c r="G21" s="375"/>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x14ac:dyDescent="0.25">
      <c r="A22" s="11"/>
      <c r="B22" s="500">
        <v>1.05</v>
      </c>
      <c r="C22" s="508" t="s">
        <v>633</v>
      </c>
      <c r="D22" s="508"/>
      <c r="E22" s="508"/>
      <c r="F22" s="271"/>
      <c r="G22" s="375"/>
      <c r="H22" s="20"/>
      <c r="I22" s="20"/>
      <c r="J22" s="20" t="s">
        <v>650</v>
      </c>
      <c r="K22" s="306">
        <f>K18-(K19-1)*K17+K19*K20</f>
        <v>359600</v>
      </c>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11"/>
      <c r="B23" s="507">
        <v>800000</v>
      </c>
      <c r="C23" s="508" t="s">
        <v>634</v>
      </c>
      <c r="D23" s="508"/>
      <c r="E23" s="508"/>
      <c r="F23" s="271"/>
      <c r="G23" s="375"/>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x14ac:dyDescent="0.25">
      <c r="A24" s="374"/>
      <c r="B24" s="500">
        <v>0.4</v>
      </c>
      <c r="C24" s="508" t="s">
        <v>635</v>
      </c>
      <c r="D24" s="508"/>
      <c r="E24" s="508"/>
      <c r="F24" s="271"/>
      <c r="G24" s="375"/>
      <c r="H24" s="20"/>
      <c r="I24" s="20"/>
      <c r="J24" s="20" t="s">
        <v>651</v>
      </c>
      <c r="K24" s="517">
        <f>(K22+K19*B26)*B22</f>
        <v>608580</v>
      </c>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x14ac:dyDescent="0.25">
      <c r="A25" s="374"/>
      <c r="B25" s="500">
        <v>0.05</v>
      </c>
      <c r="C25" s="508" t="s">
        <v>636</v>
      </c>
      <c r="D25" s="508"/>
      <c r="E25" s="508"/>
      <c r="F25" s="271"/>
      <c r="G25" s="375"/>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 thickBot="1" x14ac:dyDescent="0.3">
      <c r="A26" s="374"/>
      <c r="B26" s="510">
        <v>200000</v>
      </c>
      <c r="C26" s="511" t="s">
        <v>637</v>
      </c>
      <c r="D26" s="511"/>
      <c r="E26" s="511"/>
      <c r="F26" s="280"/>
      <c r="G26" s="375"/>
      <c r="H26" s="20"/>
      <c r="I26" s="20"/>
      <c r="J26" s="20" t="s">
        <v>652</v>
      </c>
      <c r="K26" s="20">
        <f>B16*B23</f>
        <v>560000</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x14ac:dyDescent="0.25">
      <c r="A27" s="374"/>
      <c r="B27" s="374"/>
      <c r="C27" s="374"/>
      <c r="D27" s="374"/>
      <c r="E27" s="374"/>
      <c r="F27" s="374"/>
      <c r="G27" s="375"/>
      <c r="H27" s="20"/>
      <c r="I27" s="20"/>
      <c r="J27" s="20" t="s">
        <v>653</v>
      </c>
      <c r="K27" s="20">
        <f>B17*B23</f>
        <v>1040000</v>
      </c>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x14ac:dyDescent="0.25">
      <c r="A28" s="11">
        <v>1.25</v>
      </c>
      <c r="B28" s="512" t="s">
        <v>0</v>
      </c>
      <c r="C28" s="512"/>
      <c r="D28" s="512"/>
      <c r="E28" s="512"/>
      <c r="F28" s="374"/>
      <c r="G28" s="375"/>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x14ac:dyDescent="0.25">
      <c r="A29" s="11"/>
      <c r="B29" s="270" t="s">
        <v>638</v>
      </c>
      <c r="C29" s="512"/>
      <c r="D29" s="512"/>
      <c r="E29" s="512"/>
      <c r="F29" s="374"/>
      <c r="G29" s="375"/>
      <c r="H29" s="20"/>
      <c r="I29" s="20"/>
      <c r="J29" s="20" t="s">
        <v>654</v>
      </c>
      <c r="K29" s="509">
        <f>MAX(MIN(K24,K27),K26)</f>
        <v>608580</v>
      </c>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x14ac:dyDescent="0.25">
      <c r="A30" s="11"/>
      <c r="B30" s="270"/>
      <c r="C30" s="512"/>
      <c r="D30" s="512"/>
      <c r="E30" s="512"/>
      <c r="F30" s="374"/>
      <c r="G30" s="375"/>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x14ac:dyDescent="0.25">
      <c r="A31" s="11">
        <v>1.5</v>
      </c>
      <c r="B31" s="374" t="s">
        <v>1</v>
      </c>
      <c r="C31" s="374"/>
      <c r="D31" s="374"/>
      <c r="E31" s="374"/>
      <c r="F31" s="374"/>
      <c r="G31" s="375"/>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x14ac:dyDescent="0.25">
      <c r="A32" s="11"/>
      <c r="B32" s="270" t="s">
        <v>639</v>
      </c>
      <c r="C32" s="481"/>
      <c r="D32" s="481"/>
      <c r="E32" s="270"/>
      <c r="F32" s="374"/>
      <c r="G32" s="375"/>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 thickBot="1" x14ac:dyDescent="0.3">
      <c r="A33" s="28"/>
      <c r="B33" s="423"/>
      <c r="C33" s="423"/>
      <c r="D33" s="423"/>
      <c r="E33" s="423"/>
      <c r="F33" s="423"/>
      <c r="G33" s="424"/>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x14ac:dyDescent="0.2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x14ac:dyDescent="0.2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x14ac:dyDescent="0.2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x14ac:dyDescent="0.2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idden="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idden="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idden="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idden="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idden="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idden="1" x14ac:dyDescent="0.25"/>
    <row r="202" spans="1:52" hidden="1" x14ac:dyDescent="0.25"/>
    <row r="203" spans="1:52" hidden="1" x14ac:dyDescent="0.25"/>
    <row r="204" spans="1:52" s="27" customFormat="1" hidden="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idden="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idden="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hidden="1" x14ac:dyDescent="0.25"/>
    <row r="208" spans="1:52" hidden="1" x14ac:dyDescent="0.25"/>
    <row r="209" hidden="1" x14ac:dyDescent="0.25"/>
    <row r="210" hidden="1" x14ac:dyDescent="0.25"/>
    <row r="211" hidden="1" x14ac:dyDescent="0.25"/>
    <row r="212" x14ac:dyDescent="0.25"/>
    <row r="213" x14ac:dyDescent="0.25"/>
    <row r="214" x14ac:dyDescent="0.25"/>
    <row r="215" x14ac:dyDescent="0.25"/>
    <row r="216" x14ac:dyDescent="0.25"/>
  </sheetData>
  <conditionalFormatting sqref="B1">
    <cfRule type="cellIs" dxfId="101" priority="1" operator="equal">
      <formula>"Review Later"</formula>
    </cfRule>
    <cfRule type="cellIs" dxfId="100" priority="2" operator="equal">
      <formula>"Finished"</formula>
    </cfRule>
    <cfRule type="cellIs" dxfId="99" priority="3" operator="equal">
      <formula>"Incomplete"</formula>
    </cfRule>
  </conditionalFormatting>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205"/>
  <sheetViews>
    <sheetView zoomScaleNormal="100" workbookViewId="0"/>
  </sheetViews>
  <sheetFormatPr defaultColWidth="0" defaultRowHeight="0" customHeight="1" zeroHeight="1" x14ac:dyDescent="0.25"/>
  <cols>
    <col min="1" max="1" width="11.6640625" style="1" customWidth="1"/>
    <col min="2" max="2" width="51.88671875" style="1" customWidth="1"/>
    <col min="3" max="3" width="20.6640625" style="1" customWidth="1"/>
    <col min="4" max="52" width="12.109375" style="1" customWidth="1"/>
    <col min="53" max="55" width="0" style="1" hidden="1" customWidth="1"/>
    <col min="56" max="16384" width="12.109375" style="1" hidden="1"/>
  </cols>
  <sheetData>
    <row r="1" spans="1:52" ht="14.85" customHeight="1" thickBot="1" x14ac:dyDescent="0.3">
      <c r="A1" s="3">
        <v>2</v>
      </c>
      <c r="B1" s="4"/>
      <c r="C1" s="5"/>
      <c r="D1" s="5"/>
      <c r="E1" s="6"/>
      <c r="F1" s="7"/>
      <c r="G1" s="7"/>
      <c r="H1" s="7"/>
      <c r="I1" s="7"/>
      <c r="J1" s="7"/>
      <c r="K1" s="7"/>
      <c r="L1" s="7"/>
      <c r="M1" s="7"/>
      <c r="N1" s="7"/>
      <c r="O1" s="7"/>
      <c r="P1" s="7"/>
      <c r="Q1" s="7"/>
      <c r="R1" s="7"/>
      <c r="S1" s="7"/>
      <c r="T1" s="7"/>
      <c r="U1" s="7"/>
      <c r="V1" s="7"/>
      <c r="W1" s="7"/>
    </row>
    <row r="2" spans="1:52" ht="14.85" customHeight="1" x14ac:dyDescent="0.25">
      <c r="A2" s="8" t="s">
        <v>4</v>
      </c>
      <c r="B2" s="9"/>
      <c r="C2" s="9"/>
      <c r="D2" s="9"/>
      <c r="E2" s="10"/>
      <c r="F2" s="7"/>
      <c r="G2" s="7"/>
      <c r="H2" s="7"/>
      <c r="I2" s="7"/>
      <c r="J2" s="7"/>
      <c r="K2" s="7"/>
      <c r="L2" s="7"/>
      <c r="M2" s="7"/>
      <c r="N2" s="7"/>
      <c r="O2" s="7"/>
      <c r="P2" s="7"/>
      <c r="Q2" s="7"/>
      <c r="R2" s="7"/>
      <c r="S2" s="7"/>
      <c r="T2" s="7"/>
      <c r="U2" s="7"/>
      <c r="V2" s="7"/>
      <c r="W2" s="7"/>
    </row>
    <row r="3" spans="1:52" ht="14.85" customHeight="1" x14ac:dyDescent="0.25">
      <c r="A3" s="11">
        <v>1.25</v>
      </c>
      <c r="B3" s="9"/>
      <c r="C3" s="9"/>
      <c r="D3" s="9"/>
      <c r="E3" s="10"/>
      <c r="F3" s="7"/>
      <c r="G3" s="7"/>
      <c r="H3" s="7"/>
      <c r="I3" s="7"/>
      <c r="J3" s="7"/>
      <c r="K3" s="7"/>
      <c r="L3" s="7"/>
      <c r="M3" s="7"/>
      <c r="N3" s="7"/>
      <c r="O3" s="7"/>
      <c r="P3" s="7"/>
      <c r="Q3" s="7"/>
      <c r="R3" s="7"/>
      <c r="S3" s="7"/>
      <c r="T3" s="7"/>
      <c r="U3" s="7"/>
      <c r="V3" s="7"/>
      <c r="W3" s="7"/>
    </row>
    <row r="4" spans="1:52" ht="14.85" customHeight="1" x14ac:dyDescent="0.25">
      <c r="A4" s="11"/>
      <c r="B4" s="15" t="s">
        <v>57</v>
      </c>
      <c r="C4" s="9"/>
      <c r="D4" s="13"/>
      <c r="E4" s="14"/>
      <c r="F4" s="7"/>
      <c r="G4" s="7"/>
      <c r="H4" s="7"/>
      <c r="I4" s="7"/>
      <c r="J4" s="7"/>
      <c r="K4" s="7"/>
      <c r="L4" s="7"/>
      <c r="M4" s="7"/>
      <c r="N4" s="7"/>
      <c r="O4" s="7"/>
      <c r="P4" s="7"/>
      <c r="Q4" s="7"/>
      <c r="R4" s="7"/>
      <c r="S4" s="7"/>
      <c r="T4" s="7"/>
      <c r="U4" s="7"/>
      <c r="V4" s="7"/>
      <c r="W4" s="7"/>
    </row>
    <row r="5" spans="1:52" ht="14.85" customHeight="1" thickBot="1" x14ac:dyDescent="0.3">
      <c r="A5" s="11"/>
      <c r="B5" s="15"/>
      <c r="C5" s="9"/>
      <c r="D5" s="13"/>
      <c r="E5" s="14"/>
      <c r="F5" s="7"/>
      <c r="G5" s="7"/>
      <c r="H5" s="7"/>
      <c r="I5" s="7"/>
      <c r="J5" s="7"/>
      <c r="K5" s="7"/>
      <c r="L5" s="7"/>
      <c r="M5" s="7"/>
      <c r="N5" s="7"/>
      <c r="O5" s="7"/>
      <c r="P5" s="7"/>
      <c r="Q5" s="7"/>
      <c r="R5" s="7"/>
      <c r="S5" s="7"/>
      <c r="T5" s="7"/>
      <c r="U5" s="7"/>
      <c r="V5" s="7"/>
      <c r="W5" s="7"/>
    </row>
    <row r="6" spans="1:52" ht="14.4" customHeight="1" thickBot="1" x14ac:dyDescent="0.3">
      <c r="A6" s="11"/>
      <c r="B6" s="1066" t="s">
        <v>58</v>
      </c>
      <c r="C6" s="1066"/>
      <c r="D6" s="13"/>
      <c r="E6" s="14"/>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c r="B7" s="36" t="s">
        <v>59</v>
      </c>
      <c r="C7" s="37">
        <v>100</v>
      </c>
      <c r="D7" s="13"/>
      <c r="E7" s="14"/>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38" t="s">
        <v>60</v>
      </c>
      <c r="C8" s="39">
        <v>750</v>
      </c>
      <c r="D8" s="13"/>
      <c r="E8" s="14"/>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38" t="s">
        <v>61</v>
      </c>
      <c r="C9" s="40">
        <v>7.5</v>
      </c>
      <c r="D9" s="13"/>
      <c r="E9" s="14"/>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c r="B10" s="38" t="s">
        <v>62</v>
      </c>
      <c r="C10" s="40">
        <v>0.45</v>
      </c>
      <c r="D10" s="13"/>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11"/>
      <c r="B11" s="38" t="s">
        <v>63</v>
      </c>
      <c r="C11" s="41">
        <v>0.03</v>
      </c>
      <c r="D11" s="13"/>
      <c r="E11" s="14"/>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x14ac:dyDescent="0.25">
      <c r="A12" s="11"/>
      <c r="B12" s="38" t="s">
        <v>64</v>
      </c>
      <c r="C12" s="42" t="s">
        <v>65</v>
      </c>
      <c r="D12" s="13"/>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11"/>
      <c r="B13" s="43" t="s">
        <v>66</v>
      </c>
      <c r="C13" s="44">
        <v>600</v>
      </c>
      <c r="D13" s="13"/>
      <c r="E13" s="14"/>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x14ac:dyDescent="0.3">
      <c r="A14" s="11"/>
      <c r="B14" s="15"/>
      <c r="C14" s="9"/>
      <c r="D14" s="13"/>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x14ac:dyDescent="0.3">
      <c r="A15" s="11"/>
      <c r="B15" s="1067" t="s">
        <v>67</v>
      </c>
      <c r="C15" s="1068"/>
      <c r="D15" s="13"/>
      <c r="E15" s="14"/>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c r="B16" s="45" t="s">
        <v>68</v>
      </c>
      <c r="C16" s="46">
        <v>0.2</v>
      </c>
      <c r="D16" s="13"/>
      <c r="E16" s="14"/>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c r="B17" s="47" t="s">
        <v>69</v>
      </c>
      <c r="C17" s="41">
        <v>0.09</v>
      </c>
      <c r="D17" s="13"/>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11"/>
      <c r="B18" s="47" t="s">
        <v>70</v>
      </c>
      <c r="C18" s="42" t="s">
        <v>71</v>
      </c>
      <c r="D18" s="13"/>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thickBot="1" x14ac:dyDescent="0.3">
      <c r="A19" s="11"/>
      <c r="B19" s="48" t="s">
        <v>72</v>
      </c>
      <c r="C19" s="49" t="s">
        <v>73</v>
      </c>
      <c r="D19" s="13"/>
      <c r="E19" s="14"/>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11"/>
      <c r="B20" s="15"/>
      <c r="C20" s="9"/>
      <c r="D20" s="13"/>
      <c r="E20" s="14"/>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11"/>
      <c r="B21" s="12" t="s">
        <v>74</v>
      </c>
      <c r="C21" s="9"/>
      <c r="D21" s="13"/>
      <c r="E21" s="1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11"/>
      <c r="B22" s="15"/>
      <c r="C22" s="9"/>
      <c r="D22" s="13"/>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11"/>
      <c r="B23" s="19" t="s">
        <v>75</v>
      </c>
      <c r="C23" s="9"/>
      <c r="D23" s="9"/>
      <c r="E23" s="10"/>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x14ac:dyDescent="0.3">
      <c r="A24" s="28"/>
      <c r="B24" s="29"/>
      <c r="C24" s="30"/>
      <c r="D24" s="30"/>
      <c r="E24" s="50"/>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t="s">
        <v>80</v>
      </c>
      <c r="C27" s="51">
        <f>750/600-1</f>
        <v>0.25</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t="s">
        <v>81</v>
      </c>
      <c r="C29" s="51">
        <f>(1.2/1.09)*1.03^(2018.5-2016.5)-1</f>
        <v>0.16796330275229332</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82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t="s">
        <v>83</v>
      </c>
      <c r="C32" s="51">
        <f>100/(100+(7.5/0.45))</f>
        <v>0.8571428571428571</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t="s">
        <v>84</v>
      </c>
      <c r="C34" s="51">
        <f>C32*C27+(1-C32)*C29</f>
        <v>0.23828047182175618</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t="s">
        <v>85</v>
      </c>
      <c r="C36" s="52">
        <f>600*(1+C34)</f>
        <v>742.96828309305374</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mergeCells count="2">
    <mergeCell ref="B6:C6"/>
    <mergeCell ref="B15:C15"/>
  </mergeCells>
  <conditionalFormatting sqref="B1">
    <cfRule type="cellIs" dxfId="234" priority="1" operator="equal">
      <formula>"Review Later"</formula>
    </cfRule>
    <cfRule type="cellIs" dxfId="233" priority="2" operator="equal">
      <formula>"Finished"</formula>
    </cfRule>
    <cfRule type="cellIs" dxfId="232" priority="3" operator="equal">
      <formula>"Incomplete"</formula>
    </cfRule>
  </conditionalFormatting>
  <pageMargins left="0.7" right="0.7" top="0.75" bottom="0.75" header="0.51180555555555496" footer="0.51180555555555496"/>
  <pageSetup firstPageNumber="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C210"/>
  <sheetViews>
    <sheetView zoomScaleNormal="100" workbookViewId="0"/>
  </sheetViews>
  <sheetFormatPr defaultColWidth="0" defaultRowHeight="13.8" zeroHeight="1" x14ac:dyDescent="0.25"/>
  <cols>
    <col min="1" max="1" width="11.6640625" style="1" customWidth="1"/>
    <col min="2" max="2" width="15" style="1" customWidth="1"/>
    <col min="3" max="3" width="23.88671875" style="1" customWidth="1"/>
    <col min="4" max="4" width="23.33203125" style="1" customWidth="1"/>
    <col min="5" max="5" width="20.33203125" style="1" customWidth="1"/>
    <col min="6" max="6" width="14.88671875" style="1" customWidth="1"/>
    <col min="7" max="52" width="10.6640625" style="1" customWidth="1"/>
    <col min="53" max="55" width="0" style="1" hidden="1" customWidth="1"/>
    <col min="56" max="16384" width="10.6640625" style="1" hidden="1"/>
  </cols>
  <sheetData>
    <row r="1" spans="1:52" ht="14.4" thickBot="1" x14ac:dyDescent="0.3">
      <c r="A1" s="3">
        <v>16</v>
      </c>
      <c r="B1" s="4"/>
      <c r="C1" s="5"/>
      <c r="D1" s="5"/>
      <c r="E1" s="5"/>
      <c r="F1" s="5"/>
      <c r="G1" s="6"/>
      <c r="H1" s="7"/>
      <c r="I1" s="7"/>
      <c r="J1" s="7"/>
      <c r="K1" s="7"/>
      <c r="L1" s="7"/>
      <c r="M1" s="7"/>
      <c r="N1" s="7"/>
      <c r="O1" s="7"/>
      <c r="P1" s="7"/>
      <c r="Q1" s="7"/>
      <c r="R1" s="7"/>
      <c r="S1" s="7"/>
      <c r="T1" s="7"/>
      <c r="U1" s="7"/>
      <c r="V1" s="7"/>
      <c r="W1" s="7"/>
    </row>
    <row r="2" spans="1:52" x14ac:dyDescent="0.25">
      <c r="A2" s="8" t="s">
        <v>4</v>
      </c>
      <c r="B2" s="9"/>
      <c r="C2" s="9"/>
      <c r="D2" s="9"/>
      <c r="E2" s="9"/>
      <c r="F2" s="9"/>
      <c r="G2" s="10"/>
      <c r="H2" s="7"/>
      <c r="I2" s="7"/>
      <c r="J2" s="7"/>
      <c r="K2" s="7"/>
      <c r="L2" s="7"/>
      <c r="M2" s="7"/>
      <c r="N2" s="7"/>
      <c r="O2" s="7"/>
      <c r="P2" s="7"/>
      <c r="Q2" s="7"/>
      <c r="R2" s="7"/>
      <c r="S2" s="7"/>
      <c r="T2" s="7"/>
      <c r="U2" s="7"/>
      <c r="V2" s="7"/>
      <c r="W2" s="7"/>
    </row>
    <row r="3" spans="1:52" x14ac:dyDescent="0.25">
      <c r="A3" s="11">
        <v>1.5</v>
      </c>
      <c r="B3" s="9"/>
      <c r="C3" s="9"/>
      <c r="D3" s="9"/>
      <c r="E3" s="9"/>
      <c r="F3" s="9"/>
      <c r="G3" s="10"/>
      <c r="H3" s="7"/>
      <c r="I3" s="7"/>
      <c r="J3" s="7"/>
      <c r="K3" s="7"/>
      <c r="L3" s="7"/>
      <c r="M3" s="7"/>
      <c r="N3" s="7"/>
      <c r="O3" s="7"/>
      <c r="P3" s="7"/>
      <c r="Q3" s="7"/>
      <c r="R3" s="7"/>
      <c r="S3" s="7"/>
      <c r="T3" s="7"/>
      <c r="U3" s="7"/>
      <c r="V3" s="7"/>
      <c r="W3" s="7"/>
    </row>
    <row r="4" spans="1:52" x14ac:dyDescent="0.25">
      <c r="A4" s="11"/>
      <c r="B4" s="15" t="s">
        <v>655</v>
      </c>
      <c r="C4" s="9"/>
      <c r="D4" s="9"/>
      <c r="E4" s="9"/>
      <c r="F4" s="9"/>
      <c r="G4" s="14"/>
      <c r="H4" s="7"/>
      <c r="I4" s="7"/>
      <c r="J4" s="7"/>
      <c r="K4" s="7"/>
      <c r="L4" s="7"/>
      <c r="M4" s="7"/>
      <c r="N4" s="7"/>
      <c r="O4" s="7"/>
      <c r="P4" s="7"/>
      <c r="Q4" s="7"/>
      <c r="R4" s="7"/>
      <c r="S4" s="7"/>
      <c r="T4" s="7"/>
      <c r="U4" s="7"/>
      <c r="V4" s="7"/>
      <c r="W4" s="7"/>
    </row>
    <row r="5" spans="1:52" ht="14.4" thickBot="1" x14ac:dyDescent="0.3">
      <c r="A5" s="11"/>
      <c r="B5" s="15"/>
      <c r="C5" s="9"/>
      <c r="D5" s="9"/>
      <c r="E5" s="9"/>
      <c r="F5" s="9"/>
      <c r="G5" s="14"/>
      <c r="H5" s="7"/>
      <c r="I5" s="7"/>
      <c r="J5" s="7"/>
      <c r="K5" s="7"/>
      <c r="L5" s="7"/>
      <c r="M5" s="7"/>
      <c r="N5" s="7"/>
      <c r="O5" s="7"/>
      <c r="P5" s="7"/>
      <c r="Q5" s="7"/>
      <c r="R5" s="7"/>
      <c r="S5" s="7"/>
      <c r="T5" s="7"/>
      <c r="U5" s="7"/>
      <c r="V5" s="7"/>
      <c r="W5" s="7"/>
    </row>
    <row r="6" spans="1:52" ht="28.2" thickBot="1" x14ac:dyDescent="0.3">
      <c r="A6" s="11"/>
      <c r="B6" s="518" t="s">
        <v>656</v>
      </c>
      <c r="C6" s="519" t="s">
        <v>657</v>
      </c>
      <c r="D6" s="519" t="s">
        <v>658</v>
      </c>
      <c r="E6" s="520" t="s">
        <v>659</v>
      </c>
      <c r="F6" s="520" t="s">
        <v>660</v>
      </c>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thickBot="1" x14ac:dyDescent="0.3">
      <c r="A7" s="11"/>
      <c r="B7" s="1088" t="s">
        <v>445</v>
      </c>
      <c r="C7" s="1090">
        <v>41943</v>
      </c>
      <c r="D7" s="521">
        <v>42036</v>
      </c>
      <c r="E7" s="522">
        <v>200</v>
      </c>
      <c r="F7" s="522">
        <v>300</v>
      </c>
      <c r="G7" s="329"/>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thickBot="1" x14ac:dyDescent="0.3">
      <c r="A8" s="11"/>
      <c r="B8" s="1089"/>
      <c r="C8" s="1091"/>
      <c r="D8" s="521">
        <v>42216</v>
      </c>
      <c r="E8" s="522">
        <v>300</v>
      </c>
      <c r="F8" s="522">
        <v>0</v>
      </c>
      <c r="G8" s="329"/>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thickBot="1" x14ac:dyDescent="0.3">
      <c r="A9" s="11"/>
      <c r="B9" s="1088" t="s">
        <v>446</v>
      </c>
      <c r="C9" s="1090">
        <v>42122</v>
      </c>
      <c r="D9" s="521">
        <v>42186</v>
      </c>
      <c r="E9" s="522">
        <v>0</v>
      </c>
      <c r="F9" s="522">
        <v>1000</v>
      </c>
      <c r="G9" s="329"/>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thickBot="1" x14ac:dyDescent="0.3">
      <c r="A10" s="11"/>
      <c r="B10" s="1092"/>
      <c r="C10" s="1093"/>
      <c r="D10" s="521">
        <v>42292</v>
      </c>
      <c r="E10" s="522">
        <v>500</v>
      </c>
      <c r="F10" s="522">
        <v>500</v>
      </c>
      <c r="G10" s="329"/>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thickBot="1" x14ac:dyDescent="0.3">
      <c r="A11" s="11"/>
      <c r="B11" s="1089"/>
      <c r="C11" s="1091"/>
      <c r="D11" s="521">
        <v>42610</v>
      </c>
      <c r="E11" s="522">
        <v>500</v>
      </c>
      <c r="F11" s="522">
        <v>200</v>
      </c>
      <c r="G11" s="329"/>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thickBot="1" x14ac:dyDescent="0.3">
      <c r="A12" s="11"/>
      <c r="B12" s="1088" t="s">
        <v>479</v>
      </c>
      <c r="C12" s="1090">
        <v>42156</v>
      </c>
      <c r="D12" s="521">
        <v>42192</v>
      </c>
      <c r="E12" s="523">
        <v>100</v>
      </c>
      <c r="F12" s="522">
        <v>650</v>
      </c>
      <c r="G12" s="329"/>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thickBot="1" x14ac:dyDescent="0.3">
      <c r="A13" s="11"/>
      <c r="B13" s="1092"/>
      <c r="C13" s="1093"/>
      <c r="D13" s="521">
        <v>42384</v>
      </c>
      <c r="E13" s="522">
        <v>250</v>
      </c>
      <c r="F13" s="522">
        <v>400</v>
      </c>
      <c r="G13" s="329"/>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thickBot="1" x14ac:dyDescent="0.3">
      <c r="A14" s="11"/>
      <c r="B14" s="1089"/>
      <c r="C14" s="1091"/>
      <c r="D14" s="521">
        <v>42870</v>
      </c>
      <c r="E14" s="522">
        <v>300</v>
      </c>
      <c r="F14" s="522">
        <v>0</v>
      </c>
      <c r="G14" s="329"/>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thickBot="1" x14ac:dyDescent="0.3">
      <c r="A15" s="11"/>
      <c r="B15" s="1088" t="s">
        <v>661</v>
      </c>
      <c r="C15" s="1090">
        <v>42271</v>
      </c>
      <c r="D15" s="521">
        <v>42430</v>
      </c>
      <c r="E15" s="522">
        <v>0</v>
      </c>
      <c r="F15" s="522">
        <v>325</v>
      </c>
      <c r="G15" s="329"/>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thickBot="1" x14ac:dyDescent="0.3">
      <c r="A16" s="11"/>
      <c r="B16" s="1089"/>
      <c r="C16" s="1091"/>
      <c r="D16" s="521">
        <v>43088</v>
      </c>
      <c r="E16" s="522">
        <v>375</v>
      </c>
      <c r="F16" s="522">
        <v>250</v>
      </c>
      <c r="G16" s="33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x14ac:dyDescent="0.25">
      <c r="A17" s="11"/>
      <c r="B17" s="339"/>
      <c r="C17" s="524"/>
      <c r="D17" s="524"/>
      <c r="E17" s="331"/>
      <c r="F17" s="331"/>
      <c r="G17" s="334"/>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x14ac:dyDescent="0.25">
      <c r="A18" s="11">
        <v>0.75</v>
      </c>
      <c r="B18" s="9" t="s">
        <v>10</v>
      </c>
      <c r="C18" s="9"/>
      <c r="D18" s="525"/>
      <c r="E18" s="525"/>
      <c r="F18" s="9"/>
      <c r="G18" s="10"/>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x14ac:dyDescent="0.25">
      <c r="A19" s="11"/>
      <c r="B19" s="19" t="s">
        <v>662</v>
      </c>
      <c r="C19" s="9"/>
      <c r="D19" s="526"/>
      <c r="E19" s="526"/>
      <c r="F19" s="526"/>
      <c r="G19" s="10"/>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x14ac:dyDescent="0.25">
      <c r="A20" s="11"/>
      <c r="B20" s="527" t="s">
        <v>663</v>
      </c>
      <c r="C20" s="9"/>
      <c r="D20" s="526"/>
      <c r="E20" s="526"/>
      <c r="F20" s="526"/>
      <c r="G20" s="10"/>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x14ac:dyDescent="0.25">
      <c r="A21" s="11"/>
      <c r="B21" s="527" t="s">
        <v>664</v>
      </c>
      <c r="C21" s="9"/>
      <c r="D21" s="526"/>
      <c r="E21" s="526"/>
      <c r="F21" s="526"/>
      <c r="G21" s="10"/>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x14ac:dyDescent="0.25">
      <c r="A22" s="11"/>
      <c r="B22" s="527" t="s">
        <v>665</v>
      </c>
      <c r="C22" s="9"/>
      <c r="D22" s="526"/>
      <c r="E22" s="526"/>
      <c r="F22" s="526"/>
      <c r="G22" s="10"/>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x14ac:dyDescent="0.25">
      <c r="A23" s="11"/>
      <c r="B23" s="19"/>
      <c r="C23" s="9"/>
      <c r="D23" s="528"/>
      <c r="E23" s="528"/>
      <c r="F23" s="529"/>
      <c r="G23" s="10"/>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x14ac:dyDescent="0.25">
      <c r="A24" s="11">
        <v>0.75</v>
      </c>
      <c r="B24" s="9" t="s">
        <v>1</v>
      </c>
      <c r="C24" s="9"/>
      <c r="D24" s="529"/>
      <c r="E24" s="529"/>
      <c r="F24" s="529"/>
      <c r="G24" s="10"/>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x14ac:dyDescent="0.25">
      <c r="A25" s="11"/>
      <c r="B25" s="19" t="s">
        <v>666</v>
      </c>
      <c r="C25" s="9"/>
      <c r="D25" s="529"/>
      <c r="E25" s="529"/>
      <c r="F25" s="529"/>
      <c r="G25" s="10"/>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x14ac:dyDescent="0.25">
      <c r="A26" s="11"/>
      <c r="B26" s="527" t="s">
        <v>663</v>
      </c>
      <c r="C26" s="9"/>
      <c r="D26" s="529"/>
      <c r="E26" s="529"/>
      <c r="F26" s="529"/>
      <c r="G26" s="10"/>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x14ac:dyDescent="0.25">
      <c r="A27" s="11"/>
      <c r="B27" s="527" t="s">
        <v>664</v>
      </c>
      <c r="C27" s="9"/>
      <c r="D27" s="529"/>
      <c r="E27" s="529"/>
      <c r="F27" s="529"/>
      <c r="G27" s="10"/>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x14ac:dyDescent="0.25">
      <c r="A28" s="11"/>
      <c r="B28" s="527" t="s">
        <v>665</v>
      </c>
      <c r="C28" s="9"/>
      <c r="D28" s="529"/>
      <c r="E28" s="529"/>
      <c r="F28" s="529"/>
      <c r="G28" s="10"/>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thickBot="1" x14ac:dyDescent="0.3">
      <c r="A29" s="28"/>
      <c r="B29" s="29"/>
      <c r="C29" s="30"/>
      <c r="D29" s="31"/>
      <c r="E29" s="31"/>
      <c r="F29" s="31"/>
      <c r="G29" s="32"/>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x14ac:dyDescent="0.25">
      <c r="A32" s="7" t="s">
        <v>667</v>
      </c>
      <c r="B32" s="7" t="s">
        <v>16</v>
      </c>
      <c r="C32" s="530">
        <f>E9+E10+E12</f>
        <v>600</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x14ac:dyDescent="0.25">
      <c r="A33" s="7"/>
      <c r="B33" s="7" t="s">
        <v>18</v>
      </c>
      <c r="C33" s="530">
        <f>E9+E10+E11+E12+E13+E15</f>
        <v>1350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x14ac:dyDescent="0.25">
      <c r="A34" s="7"/>
      <c r="B34" s="7" t="s">
        <v>20</v>
      </c>
      <c r="C34" s="530">
        <f>E9+E10+E11+E12+E13+E14+E15+E16</f>
        <v>2025</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x14ac:dyDescent="0.25">
      <c r="A36" s="7" t="s">
        <v>668</v>
      </c>
      <c r="B36" s="7" t="s">
        <v>16</v>
      </c>
      <c r="C36" s="530">
        <f>E9+E10+F10+E12+F12</f>
        <v>1750</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x14ac:dyDescent="0.25">
      <c r="A37" s="7"/>
      <c r="B37" s="7" t="s">
        <v>18</v>
      </c>
      <c r="C37" s="530">
        <f>E9+E10+E11+F11+E12+E13+F13+E15+F15</f>
        <v>2275</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x14ac:dyDescent="0.25">
      <c r="A38" s="7"/>
      <c r="B38" s="7" t="s">
        <v>20</v>
      </c>
      <c r="C38" s="530">
        <f>E9+E10+E11+F11+E12+E13+E14+F14+E15+E16+F16</f>
        <v>2475</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x14ac:dyDescent="0.25"/>
    <row r="202" spans="1:52" hidden="1" x14ac:dyDescent="0.25"/>
    <row r="203" spans="1:52" hidden="1" x14ac:dyDescent="0.25"/>
    <row r="204" spans="1:52" hidden="1" x14ac:dyDescent="0.25"/>
    <row r="205" spans="1:52" hidden="1" x14ac:dyDescent="0.25"/>
    <row r="206" spans="1:52" x14ac:dyDescent="0.25"/>
    <row r="207" spans="1:52" x14ac:dyDescent="0.25"/>
    <row r="208" spans="1:52" x14ac:dyDescent="0.25"/>
    <row r="209" x14ac:dyDescent="0.25"/>
    <row r="210" x14ac:dyDescent="0.25"/>
  </sheetData>
  <mergeCells count="8">
    <mergeCell ref="B15:B16"/>
    <mergeCell ref="C15:C16"/>
    <mergeCell ref="B7:B8"/>
    <mergeCell ref="C7:C8"/>
    <mergeCell ref="B9:B11"/>
    <mergeCell ref="C9:C11"/>
    <mergeCell ref="B12:B14"/>
    <mergeCell ref="C12:C14"/>
  </mergeCells>
  <conditionalFormatting sqref="B1">
    <cfRule type="cellIs" dxfId="98" priority="1" operator="equal">
      <formula>"Review Later"</formula>
    </cfRule>
    <cfRule type="cellIs" dxfId="97" priority="2" operator="equal">
      <formula>"Finished"</formula>
    </cfRule>
    <cfRule type="cellIs" dxfId="96" priority="3" operator="equal">
      <formula>"Incomplete"</formula>
    </cfRule>
  </conditionalFormatting>
  <pageMargins left="0.7" right="0.7" top="0.75" bottom="0.75" header="0.51180555555555496" footer="0.51180555555555496"/>
  <pageSetup firstPageNumber="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C231"/>
  <sheetViews>
    <sheetView zoomScaleNormal="100" workbookViewId="0"/>
  </sheetViews>
  <sheetFormatPr defaultColWidth="0" defaultRowHeight="0" customHeight="1" zeroHeight="1" x14ac:dyDescent="0.25"/>
  <cols>
    <col min="1" max="1" width="11.6640625" style="1" customWidth="1"/>
    <col min="2" max="2" width="14.6640625" style="1" customWidth="1"/>
    <col min="3" max="3" width="12.44140625" style="1" customWidth="1"/>
    <col min="4" max="52" width="10.6640625" style="1" customWidth="1"/>
    <col min="53" max="55" width="0" style="1" hidden="1" customWidth="1"/>
    <col min="56" max="16384" width="10.6640625" style="1" hidden="1"/>
  </cols>
  <sheetData>
    <row r="1" spans="1:52" ht="14.7" customHeight="1" thickBot="1" x14ac:dyDescent="0.3">
      <c r="A1" s="3">
        <v>17</v>
      </c>
      <c r="B1" s="4"/>
      <c r="C1" s="5"/>
      <c r="D1" s="5"/>
      <c r="E1" s="5"/>
      <c r="F1" s="5"/>
      <c r="G1" s="5"/>
      <c r="H1" s="6"/>
      <c r="I1" s="7"/>
      <c r="J1" s="7"/>
      <c r="K1" s="7"/>
      <c r="L1" s="7"/>
      <c r="M1" s="7"/>
      <c r="N1" s="7"/>
      <c r="O1" s="7"/>
      <c r="P1" s="7"/>
      <c r="Q1" s="7"/>
      <c r="R1" s="7"/>
      <c r="S1" s="7"/>
      <c r="T1" s="7"/>
      <c r="U1" s="7"/>
      <c r="V1" s="7"/>
      <c r="W1" s="7"/>
    </row>
    <row r="2" spans="1:52" ht="14.7" customHeight="1" x14ac:dyDescent="0.25">
      <c r="A2" s="8" t="s">
        <v>4</v>
      </c>
      <c r="B2" s="9"/>
      <c r="C2" s="9"/>
      <c r="D2" s="9"/>
      <c r="E2" s="9"/>
      <c r="F2" s="9"/>
      <c r="G2" s="9"/>
      <c r="H2" s="10"/>
      <c r="I2" s="7"/>
      <c r="J2" s="7"/>
      <c r="K2" s="7"/>
      <c r="L2" s="7"/>
      <c r="M2" s="7"/>
      <c r="N2" s="7"/>
      <c r="O2" s="7"/>
      <c r="P2" s="7"/>
      <c r="Q2" s="7"/>
      <c r="R2" s="7"/>
      <c r="S2" s="7"/>
      <c r="T2" s="7"/>
      <c r="U2" s="7"/>
      <c r="V2" s="7"/>
      <c r="W2" s="7"/>
    </row>
    <row r="3" spans="1:52" ht="14.7" customHeight="1" x14ac:dyDescent="0.25">
      <c r="A3" s="11">
        <v>2</v>
      </c>
      <c r="B3" s="9"/>
      <c r="C3" s="9"/>
      <c r="D3" s="9"/>
      <c r="E3" s="9"/>
      <c r="F3" s="9"/>
      <c r="G3" s="9"/>
      <c r="H3" s="10"/>
      <c r="I3" s="7"/>
      <c r="J3" s="7"/>
      <c r="K3" s="7"/>
      <c r="L3" s="7"/>
      <c r="M3" s="7"/>
      <c r="N3" s="7"/>
      <c r="O3" s="7"/>
      <c r="P3" s="7"/>
      <c r="Q3" s="7"/>
      <c r="R3" s="7"/>
      <c r="S3" s="7"/>
      <c r="T3" s="7"/>
      <c r="U3" s="7"/>
      <c r="V3" s="7"/>
      <c r="W3" s="7"/>
    </row>
    <row r="4" spans="1:52" ht="14.7" customHeight="1" x14ac:dyDescent="0.25">
      <c r="A4" s="11"/>
      <c r="B4" s="15" t="s">
        <v>689</v>
      </c>
      <c r="C4" s="9"/>
      <c r="D4" s="9"/>
      <c r="E4" s="9"/>
      <c r="F4" s="9"/>
      <c r="G4" s="13"/>
      <c r="H4" s="14"/>
      <c r="I4" s="7"/>
      <c r="J4" s="7"/>
      <c r="K4" s="7"/>
      <c r="L4" s="7"/>
      <c r="M4" s="7"/>
      <c r="N4" s="7"/>
      <c r="O4" s="7"/>
      <c r="P4" s="7"/>
      <c r="Q4" s="7"/>
      <c r="R4" s="7"/>
      <c r="S4" s="7"/>
      <c r="T4" s="7"/>
      <c r="U4" s="7"/>
      <c r="V4" s="7"/>
      <c r="W4" s="7"/>
    </row>
    <row r="5" spans="1:52" ht="14.7" customHeight="1" thickBot="1" x14ac:dyDescent="0.3">
      <c r="A5" s="11"/>
      <c r="B5" s="15"/>
      <c r="C5" s="9"/>
      <c r="D5" s="9"/>
      <c r="E5" s="9"/>
      <c r="F5" s="9"/>
      <c r="G5" s="13"/>
      <c r="H5" s="14"/>
      <c r="I5" s="7"/>
      <c r="J5" s="7"/>
      <c r="K5" s="7"/>
      <c r="L5" s="7"/>
      <c r="M5" s="7"/>
      <c r="N5" s="7"/>
      <c r="O5" s="7"/>
      <c r="P5" s="7"/>
      <c r="Q5" s="7"/>
      <c r="R5" s="7"/>
      <c r="S5" s="7"/>
      <c r="T5" s="7"/>
      <c r="U5" s="7"/>
      <c r="V5" s="7"/>
      <c r="W5" s="7"/>
    </row>
    <row r="6" spans="1:52" ht="14.7" customHeight="1" x14ac:dyDescent="0.25">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thickBot="1" x14ac:dyDescent="0.3">
      <c r="A7" s="11"/>
      <c r="B7" s="536" t="s">
        <v>94</v>
      </c>
      <c r="C7" s="545">
        <v>12</v>
      </c>
      <c r="D7" s="545">
        <v>24</v>
      </c>
      <c r="E7" s="545">
        <v>36</v>
      </c>
      <c r="F7" s="545">
        <v>48</v>
      </c>
      <c r="G7" s="544">
        <v>60</v>
      </c>
      <c r="H7" s="32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x14ac:dyDescent="0.25">
      <c r="A8" s="11"/>
      <c r="B8" s="535">
        <v>2013</v>
      </c>
      <c r="C8" s="543">
        <v>4850</v>
      </c>
      <c r="D8" s="543">
        <v>6060</v>
      </c>
      <c r="E8" s="543">
        <v>6670</v>
      </c>
      <c r="F8" s="543">
        <v>7000</v>
      </c>
      <c r="G8" s="542">
        <v>7000</v>
      </c>
      <c r="H8" s="334"/>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3.8" x14ac:dyDescent="0.25">
      <c r="A9" s="11"/>
      <c r="B9" s="534">
        <v>2014</v>
      </c>
      <c r="C9" s="541">
        <v>5800</v>
      </c>
      <c r="D9" s="541">
        <v>7270</v>
      </c>
      <c r="E9" s="541">
        <v>8000</v>
      </c>
      <c r="F9" s="541">
        <v>8400</v>
      </c>
      <c r="G9" s="334"/>
      <c r="H9" s="10"/>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534">
        <v>2015</v>
      </c>
      <c r="C10" s="541">
        <v>7600</v>
      </c>
      <c r="D10" s="541">
        <v>9500</v>
      </c>
      <c r="E10" s="541">
        <v>10500</v>
      </c>
      <c r="F10" s="541"/>
      <c r="G10" s="334"/>
      <c r="H10" s="10"/>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7" customHeight="1" x14ac:dyDescent="0.25">
      <c r="A11" s="11"/>
      <c r="B11" s="534">
        <v>2016</v>
      </c>
      <c r="C11" s="541">
        <v>9350</v>
      </c>
      <c r="D11" s="541">
        <v>11700</v>
      </c>
      <c r="E11" s="541"/>
      <c r="F11" s="541"/>
      <c r="G11" s="334"/>
      <c r="H11" s="10"/>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7" customHeight="1" thickBot="1" x14ac:dyDescent="0.3">
      <c r="A12" s="11"/>
      <c r="B12" s="533">
        <v>2017</v>
      </c>
      <c r="C12" s="540">
        <v>11800</v>
      </c>
      <c r="D12" s="540"/>
      <c r="E12" s="540"/>
      <c r="F12" s="540"/>
      <c r="G12" s="539"/>
      <c r="H12" s="10"/>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7" customHeight="1" thickBot="1" x14ac:dyDescent="0.3">
      <c r="A13" s="11"/>
      <c r="B13" s="15"/>
      <c r="C13" s="9"/>
      <c r="D13" s="9"/>
      <c r="E13" s="9"/>
      <c r="F13" s="9"/>
      <c r="G13" s="13"/>
      <c r="H13" s="10"/>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thickBot="1" x14ac:dyDescent="0.3">
      <c r="A14" s="11"/>
      <c r="B14" s="555" t="s">
        <v>688</v>
      </c>
      <c r="C14" s="554" t="s">
        <v>170</v>
      </c>
      <c r="D14" s="9"/>
      <c r="E14" s="9"/>
      <c r="F14" s="9"/>
      <c r="G14" s="13"/>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553">
        <v>2013</v>
      </c>
      <c r="C15" s="552">
        <v>10000</v>
      </c>
      <c r="D15" s="9"/>
      <c r="E15" s="9"/>
      <c r="F15" s="9"/>
      <c r="G15" s="13"/>
      <c r="H15" s="10"/>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7" customHeight="1" x14ac:dyDescent="0.25">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7" customHeight="1" x14ac:dyDescent="0.25">
      <c r="A17" s="11"/>
      <c r="B17" s="551">
        <v>2015</v>
      </c>
      <c r="C17" s="550">
        <v>15000</v>
      </c>
      <c r="D17" s="9"/>
      <c r="E17" s="9"/>
      <c r="F17" s="9"/>
      <c r="G17" s="13"/>
      <c r="H17" s="1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7" customHeight="1" x14ac:dyDescent="0.25">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7" customHeight="1" thickBot="1" x14ac:dyDescent="0.3">
      <c r="A19" s="11"/>
      <c r="B19" s="549">
        <v>2017</v>
      </c>
      <c r="C19" s="548">
        <v>22000</v>
      </c>
      <c r="D19" s="9"/>
      <c r="E19" s="9"/>
      <c r="F19" s="9"/>
      <c r="G19" s="13"/>
      <c r="H19" s="10"/>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11"/>
      <c r="B20" s="15"/>
      <c r="C20" s="9"/>
      <c r="D20" s="9"/>
      <c r="E20" s="9"/>
      <c r="F20" s="9"/>
      <c r="G20" s="13"/>
      <c r="H20" s="10"/>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11"/>
      <c r="B21" s="15" t="s">
        <v>687</v>
      </c>
      <c r="C21" s="9"/>
      <c r="D21" s="9"/>
      <c r="E21" s="9"/>
      <c r="F21" s="9"/>
      <c r="G21" s="13"/>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11"/>
      <c r="B22" s="15" t="s">
        <v>686</v>
      </c>
      <c r="C22" s="9"/>
      <c r="D22" s="9"/>
      <c r="E22" s="9"/>
      <c r="F22" s="9"/>
      <c r="G22" s="13"/>
      <c r="H22" s="10"/>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11"/>
      <c r="B23" s="15"/>
      <c r="C23" s="9"/>
      <c r="D23" s="9"/>
      <c r="E23" s="9"/>
      <c r="F23" s="9"/>
      <c r="G23" s="13"/>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11">
        <v>1.5</v>
      </c>
      <c r="B24" s="9" t="s">
        <v>10</v>
      </c>
      <c r="C24" s="9"/>
      <c r="D24" s="9"/>
      <c r="E24" s="9"/>
      <c r="F24" s="9"/>
      <c r="G24" s="13"/>
      <c r="H24" s="10"/>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7" customHeight="1" x14ac:dyDescent="0.25">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11"/>
      <c r="B27" s="19"/>
      <c r="C27" s="9"/>
      <c r="D27" s="9"/>
      <c r="E27" s="9"/>
      <c r="F27" s="9"/>
      <c r="G27" s="13"/>
      <c r="H27" s="10"/>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11">
        <v>0.5</v>
      </c>
      <c r="B28" s="9" t="s">
        <v>1</v>
      </c>
      <c r="C28" s="9"/>
      <c r="D28" s="9"/>
      <c r="E28" s="9"/>
      <c r="F28" s="9"/>
      <c r="G28" s="9"/>
      <c r="H28" s="10"/>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11"/>
      <c r="B30" s="9" t="s">
        <v>682</v>
      </c>
      <c r="C30" s="9"/>
      <c r="D30" s="9"/>
      <c r="E30" s="9"/>
      <c r="F30" s="9"/>
      <c r="G30" s="9"/>
      <c r="H30" s="10"/>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thickBot="1" x14ac:dyDescent="0.3">
      <c r="A31" s="28"/>
      <c r="B31" s="29"/>
      <c r="C31" s="30"/>
      <c r="D31" s="31"/>
      <c r="E31" s="31"/>
      <c r="F31" s="31"/>
      <c r="G31" s="31"/>
      <c r="H31" s="3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7"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thickBot="1" x14ac:dyDescent="0.3">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t="s">
        <v>0</v>
      </c>
      <c r="B34" s="537" t="s">
        <v>117</v>
      </c>
      <c r="C34" s="547" t="s">
        <v>681</v>
      </c>
      <c r="D34" s="547"/>
      <c r="E34" s="547"/>
      <c r="F34" s="547"/>
      <c r="G34" s="546"/>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thickBot="1" x14ac:dyDescent="0.3">
      <c r="A35" s="7"/>
      <c r="B35" s="536" t="s">
        <v>94</v>
      </c>
      <c r="C35" s="545">
        <v>12</v>
      </c>
      <c r="D35" s="545">
        <v>24</v>
      </c>
      <c r="E35" s="545">
        <v>36</v>
      </c>
      <c r="F35" s="545">
        <v>48</v>
      </c>
      <c r="G35" s="544">
        <v>60</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535">
        <v>2013</v>
      </c>
      <c r="C36" s="543">
        <v>4850</v>
      </c>
      <c r="D36" s="543">
        <v>6060</v>
      </c>
      <c r="E36" s="543">
        <v>6670</v>
      </c>
      <c r="F36" s="543">
        <v>7000</v>
      </c>
      <c r="G36" s="542">
        <v>7000</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534">
        <v>2014</v>
      </c>
      <c r="C37" s="541">
        <v>5800</v>
      </c>
      <c r="D37" s="541">
        <v>7270</v>
      </c>
      <c r="E37" s="541">
        <v>8000</v>
      </c>
      <c r="F37" s="541">
        <v>8400</v>
      </c>
      <c r="G37" s="33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534">
        <v>2015</v>
      </c>
      <c r="C38" s="541">
        <v>7600</v>
      </c>
      <c r="D38" s="541">
        <v>9500</v>
      </c>
      <c r="E38" s="541">
        <v>10500</v>
      </c>
      <c r="F38" s="541"/>
      <c r="G38" s="334"/>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534">
        <v>2016</v>
      </c>
      <c r="C39" s="541">
        <v>9350</v>
      </c>
      <c r="D39" s="541">
        <v>11700</v>
      </c>
      <c r="E39" s="541"/>
      <c r="F39" s="541"/>
      <c r="G39" s="334"/>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thickBot="1" x14ac:dyDescent="0.3">
      <c r="A40" s="7"/>
      <c r="B40" s="533">
        <v>2017</v>
      </c>
      <c r="C40" s="540">
        <v>11800</v>
      </c>
      <c r="D40" s="540"/>
      <c r="E40" s="540"/>
      <c r="F40" s="540"/>
      <c r="G40" s="539"/>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t="s">
        <v>240</v>
      </c>
      <c r="C42" s="7" t="s">
        <v>680</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thickBot="1" x14ac:dyDescent="0.3">
      <c r="A43" s="7"/>
      <c r="B43" s="7"/>
      <c r="C43" s="538" t="s">
        <v>149</v>
      </c>
      <c r="D43" s="538" t="s">
        <v>150</v>
      </c>
      <c r="E43" s="538" t="s">
        <v>151</v>
      </c>
      <c r="F43" s="538" t="s">
        <v>152</v>
      </c>
      <c r="G43" s="7" t="s">
        <v>679</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535">
        <v>2013</v>
      </c>
      <c r="C44" s="7">
        <f>D36/C36</f>
        <v>1.2494845360824742</v>
      </c>
      <c r="D44" s="7">
        <f>E36/D36</f>
        <v>1.1006600660066006</v>
      </c>
      <c r="E44" s="7">
        <f>F36/E36</f>
        <v>1.0494752623688155</v>
      </c>
      <c r="F44" s="7">
        <f>G36/F36</f>
        <v>1</v>
      </c>
      <c r="G44" s="7">
        <v>1</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534">
        <v>2014</v>
      </c>
      <c r="C45" s="7">
        <f>D37/C37</f>
        <v>1.2534482758620689</v>
      </c>
      <c r="D45" s="7">
        <f>E37/D37</f>
        <v>1.1004126547455295</v>
      </c>
      <c r="E45" s="7">
        <f>F37/E37</f>
        <v>1.05</v>
      </c>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534">
        <v>2015</v>
      </c>
      <c r="C46" s="7">
        <f>D38/C38</f>
        <v>1.25</v>
      </c>
      <c r="D46" s="7">
        <f>E38/D38</f>
        <v>1.1052631578947369</v>
      </c>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534">
        <v>2016</v>
      </c>
      <c r="C47" s="7">
        <f>D39/C39</f>
        <v>1.2513368983957218</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t="s">
        <v>216</v>
      </c>
      <c r="C49" s="7">
        <f>AVERAGE(C44:C47)</f>
        <v>1.2510674275850662</v>
      </c>
      <c r="D49" s="7">
        <f>AVERAGE(D44:D46)</f>
        <v>1.1021119595489557</v>
      </c>
      <c r="E49" s="7">
        <f>AVERAGE(E44:E45)</f>
        <v>1.0497376311844078</v>
      </c>
      <c r="F49" s="7">
        <f>F44</f>
        <v>1</v>
      </c>
      <c r="G49" s="7">
        <v>1</v>
      </c>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t="s">
        <v>678</v>
      </c>
      <c r="C50" s="7">
        <f>D50*C49</f>
        <v>1.4473954344318278</v>
      </c>
      <c r="D50" s="7">
        <f>E50*D49</f>
        <v>1.1569283977169267</v>
      </c>
      <c r="E50" s="7">
        <f>F50*E49</f>
        <v>1.0497376311844078</v>
      </c>
      <c r="F50" s="7">
        <f>F49</f>
        <v>1</v>
      </c>
      <c r="G50" s="7">
        <v>1</v>
      </c>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thickBot="1" x14ac:dyDescent="0.3">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537" t="s">
        <v>117</v>
      </c>
      <c r="C53" s="7" t="s">
        <v>677</v>
      </c>
      <c r="D53" s="7" t="s">
        <v>676</v>
      </c>
      <c r="E53" s="7" t="s">
        <v>675</v>
      </c>
      <c r="F53" s="7" t="s">
        <v>674</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thickBot="1" x14ac:dyDescent="0.3">
      <c r="A54" s="7"/>
      <c r="B54" s="536" t="s">
        <v>94</v>
      </c>
      <c r="C54" s="7" t="s">
        <v>673</v>
      </c>
      <c r="D54" s="7" t="s">
        <v>672</v>
      </c>
      <c r="E54" s="7" t="s">
        <v>672</v>
      </c>
      <c r="F54" s="7" t="s">
        <v>671</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535">
        <v>2013</v>
      </c>
      <c r="C55" s="7">
        <f>1-1/F50</f>
        <v>0</v>
      </c>
      <c r="D55" s="532">
        <f>0.7*C15</f>
        <v>7000</v>
      </c>
      <c r="E55" s="532">
        <f>G36+C55*D55</f>
        <v>7000</v>
      </c>
      <c r="F55" s="531">
        <f>E55/C15</f>
        <v>0.7</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534">
        <v>2014</v>
      </c>
      <c r="C56" s="7">
        <f>1-1/F50</f>
        <v>0</v>
      </c>
      <c r="D56" s="532">
        <f>0.7*C16</f>
        <v>8400</v>
      </c>
      <c r="E56" s="532">
        <f>F37+C56*D56</f>
        <v>8400</v>
      </c>
      <c r="F56" s="531">
        <f>E56/C16</f>
        <v>0.7</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534">
        <v>2015</v>
      </c>
      <c r="C57" s="7">
        <f>1-1/E50</f>
        <v>4.7381011889884639E-2</v>
      </c>
      <c r="D57" s="532">
        <f>0.7*C17</f>
        <v>10500</v>
      </c>
      <c r="E57" s="469">
        <f>E38+C57*D57</f>
        <v>10997.500624843789</v>
      </c>
      <c r="F57" s="531">
        <f>E57/C17</f>
        <v>0.7331667083229193</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534">
        <v>2016</v>
      </c>
      <c r="C58" s="7">
        <f>1-1/D50</f>
        <v>0.13564227313168897</v>
      </c>
      <c r="D58" s="532">
        <f>0.7*C18</f>
        <v>12600</v>
      </c>
      <c r="E58" s="469">
        <f>D39+C58*D58</f>
        <v>13409.092641459281</v>
      </c>
      <c r="F58" s="531">
        <f>E58/C18</f>
        <v>0.74494959119218229</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thickBot="1" x14ac:dyDescent="0.3">
      <c r="A59" s="7"/>
      <c r="B59" s="533">
        <v>2017</v>
      </c>
      <c r="C59" s="7">
        <f>1-1/C50</f>
        <v>0.30910380383191693</v>
      </c>
      <c r="D59" s="532">
        <f>0.7*C19</f>
        <v>15399.999999999998</v>
      </c>
      <c r="E59" s="469">
        <f>C40+C59*D59</f>
        <v>16560.198579011521</v>
      </c>
      <c r="F59" s="531">
        <f>E59/C19</f>
        <v>0.75273629904597827</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t="s">
        <v>1</v>
      </c>
      <c r="B62" s="7" t="s">
        <v>670</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t="s">
        <v>669</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7"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7"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7"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7"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7"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7" hidden="1" customHeight="1" x14ac:dyDescent="0.25"/>
    <row r="202" spans="1:52" ht="14.7" hidden="1" customHeight="1" x14ac:dyDescent="0.25"/>
    <row r="203" spans="1:52" ht="14.7" hidden="1" customHeight="1" x14ac:dyDescent="0.25"/>
    <row r="204" spans="1:52" ht="14.7" hidden="1" customHeight="1" x14ac:dyDescent="0.25"/>
    <row r="205" spans="1:52" ht="14.7" hidden="1" customHeight="1" x14ac:dyDescent="0.25"/>
    <row r="206" spans="1:52" ht="14.7" hidden="1" customHeight="1" x14ac:dyDescent="0.25"/>
    <row r="207" spans="1:52" ht="14.7" hidden="1" customHeight="1" x14ac:dyDescent="0.25"/>
    <row r="208" spans="1:52" ht="14.7" hidden="1" customHeight="1" x14ac:dyDescent="0.25"/>
    <row r="209" ht="14.7" hidden="1" customHeight="1" x14ac:dyDescent="0.25"/>
    <row r="210" ht="14.7" hidden="1" customHeight="1" x14ac:dyDescent="0.25"/>
    <row r="211" ht="14.7" hidden="1" customHeight="1" x14ac:dyDescent="0.25"/>
    <row r="212" ht="14.7" hidden="1" customHeight="1" x14ac:dyDescent="0.25"/>
    <row r="213" ht="14.7" hidden="1" customHeight="1" x14ac:dyDescent="0.25"/>
    <row r="214" ht="14.7" hidden="1" customHeight="1" x14ac:dyDescent="0.25"/>
    <row r="215" ht="14.7" hidden="1" customHeight="1" x14ac:dyDescent="0.25"/>
    <row r="216" ht="14.7" hidden="1" customHeight="1" x14ac:dyDescent="0.25"/>
    <row r="217" ht="14.7" hidden="1" customHeight="1" x14ac:dyDescent="0.25"/>
    <row r="218" ht="14.7" hidden="1" customHeight="1" x14ac:dyDescent="0.25"/>
    <row r="219" ht="14.7" hidden="1" customHeight="1" x14ac:dyDescent="0.25"/>
    <row r="220" ht="14.7" hidden="1" customHeight="1" x14ac:dyDescent="0.25"/>
    <row r="221" ht="14.7"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sheetData>
  <conditionalFormatting sqref="B1">
    <cfRule type="cellIs" dxfId="95" priority="1" operator="equal">
      <formula>"Review Later"</formula>
    </cfRule>
    <cfRule type="cellIs" dxfId="94" priority="2" operator="equal">
      <formula>"Finished"</formula>
    </cfRule>
    <cfRule type="cellIs" dxfId="93" priority="3" operator="equal">
      <formula>"Incomplete"</formula>
    </cfRule>
  </conditionalFormatting>
  <pageMargins left="0.7" right="0.7" top="0.75" bottom="0.75" header="0.51180555555555496" footer="0.51180555555555496"/>
  <pageSetup firstPageNumber="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C231"/>
  <sheetViews>
    <sheetView zoomScaleNormal="100" workbookViewId="0"/>
  </sheetViews>
  <sheetFormatPr defaultColWidth="0" defaultRowHeight="0" customHeight="1" zeroHeight="1" x14ac:dyDescent="0.25"/>
  <cols>
    <col min="1" max="1" width="11.6640625" style="1" customWidth="1"/>
    <col min="2" max="2" width="14.6640625" style="1" customWidth="1"/>
    <col min="3" max="52" width="10.6640625" style="1" customWidth="1"/>
    <col min="53" max="55" width="0" style="1" hidden="1" customWidth="1"/>
    <col min="56" max="16384" width="10.6640625" style="1" hidden="1"/>
  </cols>
  <sheetData>
    <row r="1" spans="1:52" ht="14.7" customHeight="1" thickBot="1" x14ac:dyDescent="0.3">
      <c r="A1" s="3">
        <v>17</v>
      </c>
      <c r="B1" s="4"/>
      <c r="C1" s="5"/>
      <c r="D1" s="5"/>
      <c r="E1" s="5"/>
      <c r="F1" s="5"/>
      <c r="G1" s="5"/>
      <c r="H1" s="6"/>
      <c r="I1" s="7"/>
      <c r="J1" s="7"/>
      <c r="K1" s="7"/>
      <c r="L1" s="7"/>
      <c r="M1" s="7"/>
      <c r="N1" s="7"/>
      <c r="O1" s="7"/>
      <c r="P1" s="7"/>
      <c r="Q1" s="7"/>
      <c r="R1" s="7"/>
      <c r="S1" s="7"/>
      <c r="T1" s="7"/>
      <c r="U1" s="7"/>
      <c r="V1" s="7"/>
      <c r="W1" s="7"/>
    </row>
    <row r="2" spans="1:52" ht="14.7" customHeight="1" x14ac:dyDescent="0.25">
      <c r="A2" s="8" t="s">
        <v>4</v>
      </c>
      <c r="B2" s="9"/>
      <c r="C2" s="9"/>
      <c r="D2" s="9"/>
      <c r="E2" s="9"/>
      <c r="F2" s="9"/>
      <c r="G2" s="9"/>
      <c r="H2" s="10"/>
      <c r="I2" s="7"/>
      <c r="J2" s="7"/>
      <c r="K2" s="7"/>
      <c r="L2" s="7"/>
      <c r="M2" s="7"/>
      <c r="N2" s="7"/>
      <c r="O2" s="7"/>
      <c r="P2" s="7"/>
      <c r="Q2" s="7"/>
      <c r="R2" s="7"/>
      <c r="S2" s="7"/>
      <c r="T2" s="7"/>
      <c r="U2" s="7"/>
      <c r="V2" s="7"/>
      <c r="W2" s="7"/>
    </row>
    <row r="3" spans="1:52" ht="14.7" customHeight="1" x14ac:dyDescent="0.25">
      <c r="A3" s="11">
        <v>2</v>
      </c>
      <c r="B3" s="9"/>
      <c r="C3" s="9"/>
      <c r="D3" s="9"/>
      <c r="E3" s="9"/>
      <c r="F3" s="9"/>
      <c r="G3" s="9"/>
      <c r="H3" s="10"/>
      <c r="I3" s="7"/>
      <c r="J3" s="7"/>
      <c r="K3" s="7"/>
      <c r="L3" s="7"/>
      <c r="M3" s="7"/>
      <c r="N3" s="7"/>
      <c r="O3" s="7"/>
      <c r="P3" s="7"/>
      <c r="Q3" s="7"/>
      <c r="R3" s="7"/>
      <c r="S3" s="7"/>
      <c r="T3" s="7"/>
      <c r="U3" s="7"/>
      <c r="V3" s="7"/>
      <c r="W3" s="7"/>
    </row>
    <row r="4" spans="1:52" ht="14.7" customHeight="1" x14ac:dyDescent="0.25">
      <c r="A4" s="11"/>
      <c r="B4" s="15" t="s">
        <v>689</v>
      </c>
      <c r="C4" s="9"/>
      <c r="D4" s="9"/>
      <c r="E4" s="9"/>
      <c r="F4" s="9"/>
      <c r="G4" s="13"/>
      <c r="H4" s="14"/>
      <c r="I4" s="7"/>
      <c r="J4" s="7"/>
      <c r="K4" s="7"/>
      <c r="L4" s="7"/>
      <c r="M4" s="7"/>
      <c r="N4" s="7"/>
      <c r="O4" s="7"/>
      <c r="P4" s="7"/>
      <c r="Q4" s="7"/>
      <c r="R4" s="7"/>
      <c r="S4" s="7"/>
      <c r="T4" s="7"/>
      <c r="U4" s="7"/>
      <c r="V4" s="7"/>
      <c r="W4" s="7"/>
    </row>
    <row r="5" spans="1:52" ht="14.7" customHeight="1" thickBot="1" x14ac:dyDescent="0.3">
      <c r="A5" s="11"/>
      <c r="B5" s="15"/>
      <c r="C5" s="9"/>
      <c r="D5" s="9"/>
      <c r="E5" s="9"/>
      <c r="F5" s="9"/>
      <c r="G5" s="13"/>
      <c r="H5" s="14"/>
      <c r="I5" s="7"/>
      <c r="J5" s="7"/>
      <c r="K5" s="7"/>
      <c r="L5" s="7"/>
      <c r="M5" s="7"/>
      <c r="N5" s="7"/>
      <c r="O5" s="7"/>
      <c r="P5" s="7"/>
      <c r="Q5" s="7"/>
      <c r="R5" s="7"/>
      <c r="S5" s="7"/>
      <c r="T5" s="7"/>
      <c r="U5" s="7"/>
      <c r="V5" s="7"/>
      <c r="W5" s="7"/>
    </row>
    <row r="6" spans="1:52" ht="14.7" customHeight="1" x14ac:dyDescent="0.25">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thickBot="1" x14ac:dyDescent="0.3">
      <c r="A7" s="11"/>
      <c r="B7" s="536" t="s">
        <v>94</v>
      </c>
      <c r="C7" s="545">
        <v>12</v>
      </c>
      <c r="D7" s="545">
        <v>24</v>
      </c>
      <c r="E7" s="545">
        <v>36</v>
      </c>
      <c r="F7" s="545">
        <v>48</v>
      </c>
      <c r="G7" s="544">
        <v>60</v>
      </c>
      <c r="H7" s="32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x14ac:dyDescent="0.25">
      <c r="A8" s="11"/>
      <c r="B8" s="535">
        <v>2013</v>
      </c>
      <c r="C8" s="543">
        <v>4850</v>
      </c>
      <c r="D8" s="543">
        <v>6060</v>
      </c>
      <c r="E8" s="543">
        <v>6670</v>
      </c>
      <c r="F8" s="543">
        <v>7000</v>
      </c>
      <c r="G8" s="542">
        <v>7000</v>
      </c>
      <c r="H8" s="334"/>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3.8" x14ac:dyDescent="0.25">
      <c r="A9" s="11"/>
      <c r="B9" s="534">
        <v>2014</v>
      </c>
      <c r="C9" s="541">
        <v>5800</v>
      </c>
      <c r="D9" s="541">
        <v>7270</v>
      </c>
      <c r="E9" s="541">
        <v>8000</v>
      </c>
      <c r="F9" s="541">
        <v>8400</v>
      </c>
      <c r="G9" s="334"/>
      <c r="H9" s="10"/>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534">
        <v>2015</v>
      </c>
      <c r="C10" s="541">
        <v>7600</v>
      </c>
      <c r="D10" s="541">
        <v>9500</v>
      </c>
      <c r="E10" s="541">
        <v>10500</v>
      </c>
      <c r="F10" s="541"/>
      <c r="G10" s="334"/>
      <c r="H10" s="10"/>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7" customHeight="1" x14ac:dyDescent="0.25">
      <c r="A11" s="11"/>
      <c r="B11" s="534">
        <v>2016</v>
      </c>
      <c r="C11" s="541">
        <v>9350</v>
      </c>
      <c r="D11" s="541">
        <v>11700</v>
      </c>
      <c r="E11" s="541"/>
      <c r="F11" s="541"/>
      <c r="G11" s="334"/>
      <c r="H11" s="10"/>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7" customHeight="1" thickBot="1" x14ac:dyDescent="0.3">
      <c r="A12" s="11"/>
      <c r="B12" s="533">
        <v>2017</v>
      </c>
      <c r="C12" s="540">
        <v>11800</v>
      </c>
      <c r="D12" s="540"/>
      <c r="E12" s="540"/>
      <c r="F12" s="540"/>
      <c r="G12" s="539"/>
      <c r="H12" s="10"/>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7" customHeight="1" thickBot="1" x14ac:dyDescent="0.3">
      <c r="A13" s="11"/>
      <c r="B13" s="15"/>
      <c r="C13" s="9"/>
      <c r="D13" s="9"/>
      <c r="E13" s="9"/>
      <c r="F13" s="9"/>
      <c r="G13" s="13"/>
      <c r="H13" s="10"/>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thickBot="1" x14ac:dyDescent="0.3">
      <c r="A14" s="11"/>
      <c r="B14" s="555" t="s">
        <v>688</v>
      </c>
      <c r="C14" s="554" t="s">
        <v>170</v>
      </c>
      <c r="D14" s="9"/>
      <c r="E14" s="9"/>
      <c r="F14" s="9"/>
      <c r="G14" s="13"/>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553">
        <v>2013</v>
      </c>
      <c r="C15" s="552">
        <v>10000</v>
      </c>
      <c r="D15" s="9"/>
      <c r="E15" s="9"/>
      <c r="F15" s="9"/>
      <c r="G15" s="13"/>
      <c r="H15" s="10"/>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7" customHeight="1" x14ac:dyDescent="0.25">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7" customHeight="1" x14ac:dyDescent="0.25">
      <c r="A17" s="11"/>
      <c r="B17" s="551">
        <v>2015</v>
      </c>
      <c r="C17" s="550">
        <v>15000</v>
      </c>
      <c r="D17" s="9"/>
      <c r="E17" s="9"/>
      <c r="F17" s="9"/>
      <c r="G17" s="13"/>
      <c r="H17" s="1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7" customHeight="1" x14ac:dyDescent="0.25">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7" customHeight="1" thickBot="1" x14ac:dyDescent="0.3">
      <c r="A19" s="11"/>
      <c r="B19" s="549">
        <v>2017</v>
      </c>
      <c r="C19" s="548">
        <v>22000</v>
      </c>
      <c r="D19" s="9"/>
      <c r="E19" s="9"/>
      <c r="F19" s="9"/>
      <c r="G19" s="13"/>
      <c r="H19" s="10"/>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11"/>
      <c r="B20" s="15"/>
      <c r="C20" s="9"/>
      <c r="D20" s="9"/>
      <c r="E20" s="9"/>
      <c r="F20" s="9"/>
      <c r="G20" s="13"/>
      <c r="H20" s="10"/>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11"/>
      <c r="B21" s="15" t="s">
        <v>687</v>
      </c>
      <c r="C21" s="9"/>
      <c r="D21" s="9"/>
      <c r="E21" s="9"/>
      <c r="F21" s="9"/>
      <c r="G21" s="13"/>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11"/>
      <c r="B22" s="15" t="s">
        <v>686</v>
      </c>
      <c r="C22" s="9"/>
      <c r="D22" s="9"/>
      <c r="E22" s="9"/>
      <c r="F22" s="9"/>
      <c r="G22" s="13"/>
      <c r="H22" s="10"/>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11"/>
      <c r="B23" s="15"/>
      <c r="C23" s="9"/>
      <c r="D23" s="9"/>
      <c r="E23" s="9"/>
      <c r="F23" s="9"/>
      <c r="G23" s="13"/>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11">
        <v>1.5</v>
      </c>
      <c r="B24" s="9" t="s">
        <v>10</v>
      </c>
      <c r="C24" s="9"/>
      <c r="D24" s="9"/>
      <c r="E24" s="9"/>
      <c r="F24" s="9"/>
      <c r="G24" s="13"/>
      <c r="H24" s="10"/>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7" customHeight="1" x14ac:dyDescent="0.25">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11"/>
      <c r="B27" s="19"/>
      <c r="C27" s="9"/>
      <c r="D27" s="9"/>
      <c r="E27" s="9"/>
      <c r="F27" s="9"/>
      <c r="G27" s="13"/>
      <c r="H27" s="10"/>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11">
        <v>0.5</v>
      </c>
      <c r="B28" s="9" t="s">
        <v>1</v>
      </c>
      <c r="C28" s="9"/>
      <c r="D28" s="9"/>
      <c r="E28" s="9"/>
      <c r="F28" s="9"/>
      <c r="G28" s="9"/>
      <c r="H28" s="10"/>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11"/>
      <c r="B30" s="9" t="s">
        <v>682</v>
      </c>
      <c r="C30" s="9"/>
      <c r="D30" s="9"/>
      <c r="E30" s="9"/>
      <c r="F30" s="9"/>
      <c r="G30" s="9"/>
      <c r="H30" s="10"/>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thickBot="1" x14ac:dyDescent="0.3">
      <c r="A31" s="28"/>
      <c r="B31" s="29"/>
      <c r="C31" s="30"/>
      <c r="D31" s="31"/>
      <c r="E31" s="31"/>
      <c r="F31" s="31"/>
      <c r="G31" s="31"/>
      <c r="H31" s="3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7"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thickBot="1" x14ac:dyDescent="0.3">
      <c r="A33" s="7" t="s">
        <v>280</v>
      </c>
      <c r="B33" s="536" t="s">
        <v>94</v>
      </c>
      <c r="C33" s="545">
        <v>12</v>
      </c>
      <c r="D33" s="545">
        <v>24</v>
      </c>
      <c r="E33" s="545">
        <v>36</v>
      </c>
      <c r="F33" s="545">
        <v>48</v>
      </c>
      <c r="G33" s="544">
        <v>60</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thickBot="1" x14ac:dyDescent="0.3">
      <c r="A34" s="7"/>
      <c r="B34" s="535">
        <v>2013</v>
      </c>
      <c r="C34" s="559">
        <f>D8/C8</f>
        <v>1.2494845360824742</v>
      </c>
      <c r="D34" s="559">
        <f>E8/D8</f>
        <v>1.1006600660066006</v>
      </c>
      <c r="E34" s="559">
        <f>F8/E8</f>
        <v>1.0494752623688155</v>
      </c>
      <c r="F34" s="559">
        <f>G8/F8</f>
        <v>1</v>
      </c>
      <c r="G34" s="559"/>
      <c r="H34" s="473"/>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thickBot="1" x14ac:dyDescent="0.3">
      <c r="A35" s="7"/>
      <c r="B35" s="534">
        <v>2014</v>
      </c>
      <c r="C35" s="559">
        <f>D9/C9</f>
        <v>1.2534482758620689</v>
      </c>
      <c r="D35" s="559">
        <f>E9/D9</f>
        <v>1.1004126547455295</v>
      </c>
      <c r="E35" s="559">
        <f>F9/E9</f>
        <v>1.05</v>
      </c>
      <c r="F35" s="559"/>
      <c r="G35" s="559"/>
      <c r="H35" s="473"/>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thickBot="1" x14ac:dyDescent="0.3">
      <c r="A36" s="7"/>
      <c r="B36" s="534">
        <v>2015</v>
      </c>
      <c r="C36" s="559">
        <f>D10/C10</f>
        <v>1.25</v>
      </c>
      <c r="D36" s="559">
        <f>E10/D10</f>
        <v>1.1052631578947369</v>
      </c>
      <c r="E36" s="559"/>
      <c r="F36" s="559"/>
      <c r="G36" s="559"/>
      <c r="H36" s="473"/>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thickBot="1" x14ac:dyDescent="0.3">
      <c r="A37" s="7"/>
      <c r="B37" s="534">
        <v>2016</v>
      </c>
      <c r="C37" s="559">
        <f>D11/C11</f>
        <v>1.2513368983957218</v>
      </c>
      <c r="D37" s="559"/>
      <c r="E37" s="559"/>
      <c r="F37" s="559"/>
      <c r="G37" s="559"/>
      <c r="H37" s="473"/>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thickBot="1" x14ac:dyDescent="0.3">
      <c r="A38" s="7"/>
      <c r="B38" s="533">
        <v>2017</v>
      </c>
      <c r="C38" s="559"/>
      <c r="D38" s="559"/>
      <c r="E38" s="559"/>
      <c r="F38" s="559"/>
      <c r="G38" s="559"/>
      <c r="H38" s="473"/>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7"/>
      <c r="C39" s="558">
        <f>AVERAGE(C34:C37)</f>
        <v>1.2510674275850662</v>
      </c>
      <c r="D39" s="558">
        <f>AVERAGE(D34:D37)</f>
        <v>1.1021119595489557</v>
      </c>
      <c r="E39" s="558">
        <f>AVERAGE(E34:E37)</f>
        <v>1.0497376311844078</v>
      </c>
      <c r="F39" s="558">
        <f>AVERAGE(F34:F37)</f>
        <v>1</v>
      </c>
      <c r="G39" s="55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c r="C40" s="558">
        <f>PRODUCT(C39:$F39)</f>
        <v>1.4473954344318278</v>
      </c>
      <c r="D40" s="558">
        <f>PRODUCT(D39:$F39)</f>
        <v>1.1569283977169267</v>
      </c>
      <c r="E40" s="558">
        <f>PRODUCT(E39:$F39)</f>
        <v>1.0497376311844078</v>
      </c>
      <c r="F40" s="558">
        <f>PRODUCT(F39:$F39)</f>
        <v>1</v>
      </c>
      <c r="G40" s="558">
        <v>1</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thickBot="1" x14ac:dyDescent="0.3">
      <c r="A43" s="7"/>
      <c r="B43" s="536" t="s">
        <v>94</v>
      </c>
      <c r="C43" s="7"/>
      <c r="D43" s="7" t="s">
        <v>695</v>
      </c>
      <c r="E43" s="7" t="s">
        <v>694</v>
      </c>
      <c r="F43" s="7" t="s">
        <v>693</v>
      </c>
      <c r="G43" s="7" t="s">
        <v>692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535">
        <v>2013</v>
      </c>
      <c r="C44" s="469">
        <f>C15</f>
        <v>10000</v>
      </c>
      <c r="D44" s="558">
        <f>1-1/G40</f>
        <v>0</v>
      </c>
      <c r="E44" s="557">
        <f>G8</f>
        <v>7000</v>
      </c>
      <c r="F44" s="532">
        <f>E44+D44*C44*0.7</f>
        <v>7000</v>
      </c>
      <c r="G44" s="556">
        <f>F44/C44</f>
        <v>0.7</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534">
        <v>2014</v>
      </c>
      <c r="C45" s="469">
        <f>C16</f>
        <v>12000</v>
      </c>
      <c r="D45" s="558">
        <f>1-1/F40</f>
        <v>0</v>
      </c>
      <c r="E45" s="557">
        <f>F9</f>
        <v>8400</v>
      </c>
      <c r="F45" s="532">
        <f>E45+D45*C45*0.7</f>
        <v>8400</v>
      </c>
      <c r="G45" s="556">
        <f>F45/C45</f>
        <v>0.7</v>
      </c>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534">
        <v>2015</v>
      </c>
      <c r="C46" s="469">
        <f>C17</f>
        <v>15000</v>
      </c>
      <c r="D46" s="558">
        <f>1-1/E40</f>
        <v>4.7381011889884639E-2</v>
      </c>
      <c r="E46" s="557">
        <f>E10</f>
        <v>10500</v>
      </c>
      <c r="F46" s="532">
        <f>E46+D46*C46*0.7</f>
        <v>10997.500624843789</v>
      </c>
      <c r="G46" s="556">
        <f>F46/C46</f>
        <v>0.7331667083229193</v>
      </c>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534">
        <v>2016</v>
      </c>
      <c r="C47" s="469">
        <f>C18</f>
        <v>18000</v>
      </c>
      <c r="D47" s="558">
        <f>1-1/D40</f>
        <v>0.13564227313168897</v>
      </c>
      <c r="E47" s="557">
        <f>D11</f>
        <v>11700</v>
      </c>
      <c r="F47" s="532">
        <f>E47+D47*C47*0.7</f>
        <v>13409.092641459281</v>
      </c>
      <c r="G47" s="556">
        <f>F47/C47</f>
        <v>0.74494959119218229</v>
      </c>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thickBot="1" x14ac:dyDescent="0.3">
      <c r="A48" s="7"/>
      <c r="B48" s="533">
        <v>2017</v>
      </c>
      <c r="C48" s="469">
        <f>C19</f>
        <v>22000</v>
      </c>
      <c r="D48" s="558">
        <f>1-1/C40</f>
        <v>0.30910380383191693</v>
      </c>
      <c r="E48" s="557">
        <f>C12</f>
        <v>11800</v>
      </c>
      <c r="F48" s="532">
        <f>E48+D48*C48*0.7</f>
        <v>16560.198579011521</v>
      </c>
      <c r="G48" s="556">
        <f>F48/C48</f>
        <v>0.75273629904597827</v>
      </c>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t="s">
        <v>298</v>
      </c>
      <c r="B50" s="7" t="s">
        <v>691</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thickBot="1" x14ac:dyDescent="0.3">
      <c r="A51" s="7"/>
      <c r="B51" s="536" t="s">
        <v>94</v>
      </c>
      <c r="C51" s="7" t="s">
        <v>690</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535">
        <v>2013</v>
      </c>
      <c r="C52" s="473">
        <f>E44/(1-D44)/C44</f>
        <v>0.7</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534">
        <v>2014</v>
      </c>
      <c r="C53" s="473">
        <f>E45/(1-D45)/C45</f>
        <v>0.7</v>
      </c>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534">
        <v>2015</v>
      </c>
      <c r="C54" s="473">
        <f>E46/(1-D46)/C46</f>
        <v>0.7348163418290854</v>
      </c>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534">
        <v>2016</v>
      </c>
      <c r="C55" s="473">
        <f>E47/(1-D47)/C47</f>
        <v>0.75200345851600237</v>
      </c>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thickBot="1" x14ac:dyDescent="0.3">
      <c r="A56" s="7"/>
      <c r="B56" s="533">
        <v>2017</v>
      </c>
      <c r="C56" s="473">
        <f>E48/(1-D48)/C48</f>
        <v>0.77633027846798042</v>
      </c>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7"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7"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7"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7"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7"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7" hidden="1" customHeight="1" x14ac:dyDescent="0.25"/>
    <row r="202" spans="1:52" ht="14.7" hidden="1" customHeight="1" x14ac:dyDescent="0.25"/>
    <row r="203" spans="1:52" ht="14.7" hidden="1" customHeight="1" x14ac:dyDescent="0.25"/>
    <row r="204" spans="1:52" ht="14.7" hidden="1" customHeight="1" x14ac:dyDescent="0.25"/>
    <row r="205" spans="1:52" ht="14.7" hidden="1" customHeight="1" x14ac:dyDescent="0.25"/>
    <row r="206" spans="1:52" ht="14.7" hidden="1" customHeight="1" x14ac:dyDescent="0.25"/>
    <row r="207" spans="1:52" ht="14.7" hidden="1" customHeight="1" x14ac:dyDescent="0.25"/>
    <row r="208" spans="1:52" ht="14.7" hidden="1" customHeight="1" x14ac:dyDescent="0.25"/>
    <row r="209" ht="14.7" hidden="1" customHeight="1" x14ac:dyDescent="0.25"/>
    <row r="210" ht="14.7" hidden="1" customHeight="1" x14ac:dyDescent="0.25"/>
    <row r="211" ht="14.7" hidden="1" customHeight="1" x14ac:dyDescent="0.25"/>
    <row r="212" ht="14.7" hidden="1" customHeight="1" x14ac:dyDescent="0.25"/>
    <row r="213" ht="14.7" hidden="1" customHeight="1" x14ac:dyDescent="0.25"/>
    <row r="214" ht="14.7" hidden="1" customHeight="1" x14ac:dyDescent="0.25"/>
    <row r="215" ht="14.7" hidden="1" customHeight="1" x14ac:dyDescent="0.25"/>
    <row r="216" ht="14.7" hidden="1" customHeight="1" x14ac:dyDescent="0.25"/>
    <row r="217" ht="14.7" hidden="1" customHeight="1" x14ac:dyDescent="0.25"/>
    <row r="218" ht="14.7" hidden="1" customHeight="1" x14ac:dyDescent="0.25"/>
    <row r="219" ht="14.7" hidden="1" customHeight="1" x14ac:dyDescent="0.25"/>
    <row r="220" ht="14.7" hidden="1" customHeight="1" x14ac:dyDescent="0.25"/>
    <row r="221" ht="14.7"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sheetData>
  <conditionalFormatting sqref="B1">
    <cfRule type="cellIs" dxfId="92" priority="1" operator="equal">
      <formula>"Review Later"</formula>
    </cfRule>
    <cfRule type="cellIs" dxfId="91" priority="2" operator="equal">
      <formula>"Finished"</formula>
    </cfRule>
    <cfRule type="cellIs" dxfId="90" priority="3" operator="equal">
      <formula>"Incomplete"</formula>
    </cfRule>
  </conditionalFormatting>
  <pageMargins left="0.7" right="0.7" top="0.75" bottom="0.75" header="0.51180555555555496" footer="0.51180555555555496"/>
  <pageSetup firstPageNumber="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C231"/>
  <sheetViews>
    <sheetView zoomScaleNormal="100" workbookViewId="0"/>
  </sheetViews>
  <sheetFormatPr defaultColWidth="0" defaultRowHeight="0" customHeight="1" zeroHeight="1" x14ac:dyDescent="0.25"/>
  <cols>
    <col min="1" max="1" width="7.6640625" style="1" customWidth="1"/>
    <col min="2" max="2" width="14.6640625" style="1" customWidth="1"/>
    <col min="3" max="52" width="10.6640625" style="1" customWidth="1"/>
    <col min="53" max="55" width="0" style="1" hidden="1" customWidth="1"/>
    <col min="56" max="16384" width="10.6640625" style="1" hidden="1"/>
  </cols>
  <sheetData>
    <row r="1" spans="1:52" ht="14.7" customHeight="1" thickBot="1" x14ac:dyDescent="0.3">
      <c r="A1" s="3">
        <v>17</v>
      </c>
      <c r="B1" s="4"/>
      <c r="C1" s="5"/>
      <c r="D1" s="5"/>
      <c r="E1" s="5"/>
      <c r="F1" s="5"/>
      <c r="G1" s="5"/>
      <c r="H1" s="6"/>
      <c r="I1" s="7"/>
      <c r="J1" s="7"/>
      <c r="K1" s="7"/>
      <c r="L1" s="7"/>
      <c r="M1" s="7"/>
      <c r="N1" s="7"/>
      <c r="O1" s="7"/>
      <c r="P1" s="7"/>
      <c r="Q1" s="7"/>
      <c r="R1" s="7"/>
      <c r="S1" s="7"/>
      <c r="T1" s="7"/>
      <c r="U1" s="7"/>
      <c r="V1" s="7"/>
      <c r="W1" s="7"/>
    </row>
    <row r="2" spans="1:52" ht="14.7" customHeight="1" x14ac:dyDescent="0.25">
      <c r="A2" s="8" t="s">
        <v>4</v>
      </c>
      <c r="B2" s="9"/>
      <c r="C2" s="9"/>
      <c r="D2" s="9"/>
      <c r="E2" s="9"/>
      <c r="F2" s="9"/>
      <c r="G2" s="9"/>
      <c r="H2" s="10"/>
      <c r="I2" s="7"/>
      <c r="J2" s="7"/>
      <c r="K2" s="7"/>
      <c r="L2" s="7"/>
      <c r="M2" s="7"/>
      <c r="N2" s="7"/>
      <c r="O2" s="7"/>
      <c r="P2" s="7"/>
      <c r="Q2" s="7"/>
      <c r="R2" s="7"/>
      <c r="S2" s="7"/>
      <c r="T2" s="7"/>
      <c r="U2" s="7"/>
      <c r="V2" s="7"/>
      <c r="W2" s="7"/>
    </row>
    <row r="3" spans="1:52" ht="14.7" customHeight="1" x14ac:dyDescent="0.25">
      <c r="A3" s="11">
        <v>2</v>
      </c>
      <c r="B3" s="9"/>
      <c r="C3" s="9"/>
      <c r="D3" s="9"/>
      <c r="E3" s="9"/>
      <c r="F3" s="9"/>
      <c r="G3" s="9"/>
      <c r="H3" s="10"/>
      <c r="I3" s="7"/>
      <c r="J3" s="7"/>
      <c r="K3" s="7"/>
      <c r="L3" s="7"/>
      <c r="M3" s="7"/>
      <c r="N3" s="7"/>
      <c r="O3" s="7"/>
      <c r="P3" s="7"/>
      <c r="Q3" s="7"/>
      <c r="R3" s="7"/>
      <c r="S3" s="7"/>
      <c r="T3" s="7"/>
      <c r="U3" s="7"/>
      <c r="V3" s="7"/>
      <c r="W3" s="7"/>
    </row>
    <row r="4" spans="1:52" ht="14.7" customHeight="1" x14ac:dyDescent="0.25">
      <c r="A4" s="11"/>
      <c r="B4" s="15" t="s">
        <v>689</v>
      </c>
      <c r="C4" s="9"/>
      <c r="D4" s="9"/>
      <c r="E4" s="9"/>
      <c r="F4" s="9"/>
      <c r="G4" s="13"/>
      <c r="H4" s="14"/>
      <c r="I4" s="7"/>
      <c r="J4" s="7"/>
      <c r="K4" s="7"/>
      <c r="L4" s="7"/>
      <c r="M4" s="7"/>
      <c r="N4" s="7"/>
      <c r="O4" s="7"/>
      <c r="P4" s="7"/>
      <c r="Q4" s="7"/>
      <c r="R4" s="7"/>
      <c r="S4" s="7"/>
      <c r="T4" s="7"/>
      <c r="U4" s="7"/>
      <c r="V4" s="7"/>
      <c r="W4" s="7"/>
    </row>
    <row r="5" spans="1:52" ht="14.7" customHeight="1" thickBot="1" x14ac:dyDescent="0.3">
      <c r="A5" s="11"/>
      <c r="B5" s="15"/>
      <c r="C5" s="9"/>
      <c r="D5" s="9"/>
      <c r="E5" s="9"/>
      <c r="F5" s="9"/>
      <c r="G5" s="13"/>
      <c r="H5" s="14"/>
      <c r="I5" s="7"/>
      <c r="J5" s="7"/>
      <c r="K5" s="7"/>
      <c r="L5" s="7"/>
      <c r="M5" s="7"/>
      <c r="N5" s="7"/>
      <c r="O5" s="7"/>
      <c r="P5" s="7"/>
      <c r="Q5" s="7"/>
      <c r="R5" s="7"/>
      <c r="S5" s="7"/>
      <c r="T5" s="7"/>
      <c r="U5" s="7"/>
      <c r="V5" s="7"/>
      <c r="W5" s="7"/>
    </row>
    <row r="6" spans="1:52" ht="14.7" customHeight="1" x14ac:dyDescent="0.25">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7" customHeight="1" thickBot="1" x14ac:dyDescent="0.3">
      <c r="A7" s="11"/>
      <c r="B7" s="536" t="s">
        <v>94</v>
      </c>
      <c r="C7" s="545">
        <v>12</v>
      </c>
      <c r="D7" s="545">
        <v>24</v>
      </c>
      <c r="E7" s="545">
        <v>36</v>
      </c>
      <c r="F7" s="545">
        <v>48</v>
      </c>
      <c r="G7" s="544">
        <v>60</v>
      </c>
      <c r="H7" s="329"/>
      <c r="I7" s="7" t="s">
        <v>249</v>
      </c>
      <c r="J7" s="452" t="s">
        <v>149</v>
      </c>
      <c r="K7" s="7" t="s">
        <v>150</v>
      </c>
      <c r="L7" s="7" t="s">
        <v>151</v>
      </c>
      <c r="M7" s="7" t="s">
        <v>704</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7" customHeight="1" x14ac:dyDescent="0.25">
      <c r="A8" s="11"/>
      <c r="B8" s="535">
        <v>2013</v>
      </c>
      <c r="C8" s="543">
        <v>4850</v>
      </c>
      <c r="D8" s="543">
        <v>6060</v>
      </c>
      <c r="E8" s="543">
        <v>6670</v>
      </c>
      <c r="F8" s="543">
        <v>7000</v>
      </c>
      <c r="G8" s="542">
        <v>7000</v>
      </c>
      <c r="H8" s="334"/>
      <c r="I8" s="7">
        <f>B8</f>
        <v>2013</v>
      </c>
      <c r="J8" s="563">
        <f>D8/C8</f>
        <v>1.2494845360824742</v>
      </c>
      <c r="K8" s="563">
        <f>E8/D8</f>
        <v>1.1006600660066006</v>
      </c>
      <c r="L8" s="563">
        <f>F8/E8</f>
        <v>1.0494752623688155</v>
      </c>
      <c r="M8" s="563">
        <f>G8/F8</f>
        <v>1</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3.8" x14ac:dyDescent="0.25">
      <c r="A9" s="11"/>
      <c r="B9" s="534">
        <v>2014</v>
      </c>
      <c r="C9" s="541">
        <v>5800</v>
      </c>
      <c r="D9" s="541">
        <v>7270</v>
      </c>
      <c r="E9" s="541">
        <v>8000</v>
      </c>
      <c r="F9" s="541">
        <v>8400</v>
      </c>
      <c r="G9" s="334"/>
      <c r="H9" s="10"/>
      <c r="I9" s="7">
        <f>B9</f>
        <v>2014</v>
      </c>
      <c r="J9" s="563">
        <f>D9/C9</f>
        <v>1.2534482758620689</v>
      </c>
      <c r="K9" s="563">
        <f>E9/D9</f>
        <v>1.1004126547455295</v>
      </c>
      <c r="L9" s="563">
        <f>F9/E9</f>
        <v>1.05</v>
      </c>
      <c r="M9" s="563"/>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7" customHeight="1" x14ac:dyDescent="0.25">
      <c r="A10" s="11"/>
      <c r="B10" s="534">
        <v>2015</v>
      </c>
      <c r="C10" s="541">
        <v>7600</v>
      </c>
      <c r="D10" s="541">
        <v>9500</v>
      </c>
      <c r="E10" s="541">
        <v>10500</v>
      </c>
      <c r="F10" s="541"/>
      <c r="G10" s="334"/>
      <c r="H10" s="10"/>
      <c r="I10" s="7">
        <f>B10</f>
        <v>2015</v>
      </c>
      <c r="J10" s="563">
        <f>D10/C10</f>
        <v>1.25</v>
      </c>
      <c r="K10" s="563">
        <f>E10/D10</f>
        <v>1.1052631578947369</v>
      </c>
      <c r="L10" s="563"/>
      <c r="M10" s="563"/>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7" customHeight="1" x14ac:dyDescent="0.25">
      <c r="A11" s="11"/>
      <c r="B11" s="534">
        <v>2016</v>
      </c>
      <c r="C11" s="541">
        <v>9350</v>
      </c>
      <c r="D11" s="541">
        <v>11700</v>
      </c>
      <c r="E11" s="541"/>
      <c r="F11" s="541"/>
      <c r="G11" s="334"/>
      <c r="H11" s="10"/>
      <c r="I11" s="7">
        <f>B11</f>
        <v>2016</v>
      </c>
      <c r="J11" s="563">
        <f>D11/C11</f>
        <v>1.2513368983957218</v>
      </c>
      <c r="K11" s="563"/>
      <c r="L11" s="563"/>
      <c r="M11" s="563"/>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7" customHeight="1" thickBot="1" x14ac:dyDescent="0.3">
      <c r="A12" s="11"/>
      <c r="B12" s="533">
        <v>2017</v>
      </c>
      <c r="C12" s="540">
        <v>11800</v>
      </c>
      <c r="D12" s="540"/>
      <c r="E12" s="540"/>
      <c r="F12" s="540"/>
      <c r="G12" s="539"/>
      <c r="H12" s="10"/>
      <c r="I12" s="7" t="s">
        <v>703</v>
      </c>
      <c r="J12" s="562">
        <f>AVERAGE(J8:J11)</f>
        <v>1.2510674275850662</v>
      </c>
      <c r="K12" s="562">
        <f>AVERAGE(K8:K11)</f>
        <v>1.1021119595489557</v>
      </c>
      <c r="L12" s="562">
        <f>AVERAGE(L8:L11)</f>
        <v>1.0497376311844078</v>
      </c>
      <c r="M12" s="562">
        <f>AVERAGE(M8:M11)</f>
        <v>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7" customHeight="1" thickBot="1" x14ac:dyDescent="0.3">
      <c r="A13" s="11"/>
      <c r="B13" s="15"/>
      <c r="C13" s="9"/>
      <c r="D13" s="9"/>
      <c r="E13" s="9"/>
      <c r="F13" s="9"/>
      <c r="G13" s="13"/>
      <c r="H13" s="10"/>
      <c r="I13" s="7" t="s">
        <v>702</v>
      </c>
      <c r="J13" s="562">
        <f>J12</f>
        <v>1.2510674275850662</v>
      </c>
      <c r="K13" s="562">
        <f>K12</f>
        <v>1.1021119595489557</v>
      </c>
      <c r="L13" s="562">
        <f>L12</f>
        <v>1.0497376311844078</v>
      </c>
      <c r="M13" s="562">
        <f>M12</f>
        <v>1</v>
      </c>
      <c r="N13" s="7" t="s">
        <v>701</v>
      </c>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7" customHeight="1" thickBot="1" x14ac:dyDescent="0.3">
      <c r="A14" s="11"/>
      <c r="B14" s="555" t="s">
        <v>688</v>
      </c>
      <c r="C14" s="554" t="s">
        <v>170</v>
      </c>
      <c r="D14" s="9"/>
      <c r="E14" s="9"/>
      <c r="F14" s="9"/>
      <c r="G14" s="13"/>
      <c r="H14" s="10"/>
      <c r="I14" s="7" t="s">
        <v>155</v>
      </c>
      <c r="J14" s="562">
        <f>J13*K14</f>
        <v>1.4473954344318278</v>
      </c>
      <c r="K14" s="562">
        <f>K13*L14</f>
        <v>1.1569283977169267</v>
      </c>
      <c r="L14" s="562">
        <f>L13*M14</f>
        <v>1.0497376311844078</v>
      </c>
      <c r="M14" s="562">
        <f>M13</f>
        <v>1</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7" customHeight="1" x14ac:dyDescent="0.25">
      <c r="A15" s="11"/>
      <c r="B15" s="553">
        <v>2013</v>
      </c>
      <c r="C15" s="552">
        <v>10000</v>
      </c>
      <c r="D15" s="9"/>
      <c r="E15" s="9"/>
      <c r="F15" s="9"/>
      <c r="G15" s="13"/>
      <c r="H15" s="10"/>
      <c r="I15" s="7" t="s">
        <v>700</v>
      </c>
      <c r="J15" s="556">
        <f>1-1/J14</f>
        <v>0.30910380383191693</v>
      </c>
      <c r="K15" s="556">
        <f>1-1/K14</f>
        <v>0.13564227313168897</v>
      </c>
      <c r="L15" s="556">
        <f>1-1/L14</f>
        <v>4.7381011889884639E-2</v>
      </c>
      <c r="M15" s="556">
        <f>1-1/M14</f>
        <v>0</v>
      </c>
      <c r="N15" s="468">
        <v>0</v>
      </c>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7" customHeight="1" x14ac:dyDescent="0.25">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7" customHeight="1" x14ac:dyDescent="0.25">
      <c r="A17" s="11"/>
      <c r="B17" s="551">
        <v>2015</v>
      </c>
      <c r="C17" s="550">
        <v>15000</v>
      </c>
      <c r="D17" s="9"/>
      <c r="E17" s="9"/>
      <c r="F17" s="9"/>
      <c r="G17" s="13"/>
      <c r="H17" s="10"/>
      <c r="I17" s="7" t="s">
        <v>232</v>
      </c>
      <c r="J17" s="468">
        <v>0.7</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7" customHeight="1" x14ac:dyDescent="0.25">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7" customHeight="1" thickBot="1" x14ac:dyDescent="0.3">
      <c r="A19" s="11"/>
      <c r="B19" s="549">
        <v>2017</v>
      </c>
      <c r="C19" s="548">
        <v>22000</v>
      </c>
      <c r="D19" s="9"/>
      <c r="E19" s="9"/>
      <c r="F19" s="9"/>
      <c r="G19" s="13"/>
      <c r="H19" s="10"/>
      <c r="I19" s="7"/>
      <c r="J19" s="7" t="s">
        <v>699</v>
      </c>
      <c r="K19" s="244" t="s">
        <v>698</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7" customHeight="1" x14ac:dyDescent="0.25">
      <c r="A20" s="11"/>
      <c r="B20" s="15"/>
      <c r="C20" s="9"/>
      <c r="D20" s="9"/>
      <c r="E20" s="9"/>
      <c r="F20" s="9"/>
      <c r="G20" s="13"/>
      <c r="H20" s="10"/>
      <c r="I20" s="7">
        <v>2013</v>
      </c>
      <c r="J20" s="469">
        <f>G8+$C15*$J$17*N$15</f>
        <v>7000</v>
      </c>
      <c r="K20" s="561">
        <f>J20/C15</f>
        <v>0.7</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7" customHeight="1" x14ac:dyDescent="0.25">
      <c r="A21" s="11"/>
      <c r="B21" s="15" t="s">
        <v>687</v>
      </c>
      <c r="C21" s="9"/>
      <c r="D21" s="9"/>
      <c r="E21" s="9"/>
      <c r="F21" s="9"/>
      <c r="G21" s="13"/>
      <c r="H21" s="10"/>
      <c r="I21" s="7">
        <v>2014</v>
      </c>
      <c r="J21" s="469">
        <f>F9+$C16*$J$17*M$15</f>
        <v>8400</v>
      </c>
      <c r="K21" s="561">
        <f>J21/C16</f>
        <v>0.7</v>
      </c>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7" customHeight="1" x14ac:dyDescent="0.25">
      <c r="A22" s="11"/>
      <c r="B22" s="15" t="s">
        <v>686</v>
      </c>
      <c r="C22" s="9"/>
      <c r="D22" s="9"/>
      <c r="E22" s="9"/>
      <c r="F22" s="9"/>
      <c r="G22" s="13"/>
      <c r="H22" s="10"/>
      <c r="I22" s="7">
        <v>2015</v>
      </c>
      <c r="J22" s="469">
        <f>E10+$C17*$J$17*L$15</f>
        <v>10997.500624843789</v>
      </c>
      <c r="K22" s="561">
        <f>J22/C17</f>
        <v>0.7331667083229193</v>
      </c>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7" customHeight="1" x14ac:dyDescent="0.25">
      <c r="A23" s="11"/>
      <c r="B23" s="15"/>
      <c r="C23" s="9"/>
      <c r="D23" s="9"/>
      <c r="E23" s="9"/>
      <c r="F23" s="9"/>
      <c r="G23" s="13"/>
      <c r="H23" s="10"/>
      <c r="I23" s="7">
        <v>2016</v>
      </c>
      <c r="J23" s="469">
        <f>D11+$C18*$J$17*K$15</f>
        <v>13409.092641459281</v>
      </c>
      <c r="K23" s="561">
        <f>J23/C18</f>
        <v>0.74494959119218229</v>
      </c>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7" customHeight="1" x14ac:dyDescent="0.25">
      <c r="A24" s="11">
        <v>1.5</v>
      </c>
      <c r="B24" s="9" t="s">
        <v>10</v>
      </c>
      <c r="C24" s="9"/>
      <c r="D24" s="9"/>
      <c r="E24" s="9"/>
      <c r="F24" s="9"/>
      <c r="G24" s="13"/>
      <c r="H24" s="10"/>
      <c r="I24" s="7">
        <v>2017</v>
      </c>
      <c r="J24" s="469">
        <f>C12+$C19*$J$17*J$15</f>
        <v>16560.198579011521</v>
      </c>
      <c r="K24" s="561">
        <f>J24/C19</f>
        <v>0.75273629904597827</v>
      </c>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7" customHeight="1" x14ac:dyDescent="0.25">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7" customHeight="1" x14ac:dyDescent="0.25">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7" customHeight="1" x14ac:dyDescent="0.25">
      <c r="A27" s="11"/>
      <c r="B27" s="19"/>
      <c r="C27" s="9"/>
      <c r="D27" s="9"/>
      <c r="E27" s="9"/>
      <c r="F27" s="9"/>
      <c r="G27" s="13"/>
      <c r="H27" s="10"/>
      <c r="I27" s="7" t="s">
        <v>342</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7" customHeight="1" x14ac:dyDescent="0.25">
      <c r="A28" s="11">
        <v>0.5</v>
      </c>
      <c r="B28" s="9" t="s">
        <v>1</v>
      </c>
      <c r="C28" s="9"/>
      <c r="D28" s="9"/>
      <c r="E28" s="9"/>
      <c r="F28" s="9"/>
      <c r="G28" s="9"/>
      <c r="H28" s="10"/>
      <c r="I28" s="7" t="s">
        <v>697</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7" customHeight="1" x14ac:dyDescent="0.25">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7" customHeight="1" x14ac:dyDescent="0.25">
      <c r="A30" s="11"/>
      <c r="B30" s="9" t="s">
        <v>682</v>
      </c>
      <c r="C30" s="9"/>
      <c r="D30" s="9"/>
      <c r="E30" s="9"/>
      <c r="F30" s="9"/>
      <c r="G30" s="9"/>
      <c r="H30" s="10"/>
      <c r="I30" s="7" t="s">
        <v>696</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7" customHeight="1" thickBot="1" x14ac:dyDescent="0.3">
      <c r="A31" s="28"/>
      <c r="B31" s="29"/>
      <c r="C31" s="30"/>
      <c r="D31" s="31"/>
      <c r="E31" s="31"/>
      <c r="F31" s="31"/>
      <c r="G31" s="31"/>
      <c r="H31" s="32"/>
      <c r="I31" s="560">
        <f>C8/$C15</f>
        <v>0.48499999999999999</v>
      </c>
      <c r="J31" s="560">
        <f>D8/$C15</f>
        <v>0.60599999999999998</v>
      </c>
      <c r="K31" s="560">
        <f>E8/$C15</f>
        <v>0.66700000000000004</v>
      </c>
      <c r="L31" s="560">
        <f>F8/$C15</f>
        <v>0.7</v>
      </c>
      <c r="M31" s="560">
        <f>G8/$C15</f>
        <v>0.7</v>
      </c>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7" customHeight="1" x14ac:dyDescent="0.25">
      <c r="A32" s="7"/>
      <c r="B32" s="7"/>
      <c r="C32" s="7"/>
      <c r="D32" s="7"/>
      <c r="E32" s="7"/>
      <c r="F32" s="7"/>
      <c r="G32" s="7"/>
      <c r="H32" s="7"/>
      <c r="I32" s="560">
        <f>C9/$C16</f>
        <v>0.48333333333333334</v>
      </c>
      <c r="J32" s="560">
        <f>D9/$C16</f>
        <v>0.60583333333333333</v>
      </c>
      <c r="K32" s="560">
        <f>E9/$C16</f>
        <v>0.66666666666666663</v>
      </c>
      <c r="L32" s="560">
        <f>F9/$C16</f>
        <v>0.7</v>
      </c>
      <c r="M32" s="560"/>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7" customHeight="1" x14ac:dyDescent="0.25">
      <c r="A33" s="7"/>
      <c r="B33" s="7"/>
      <c r="C33" s="7"/>
      <c r="D33" s="7"/>
      <c r="E33" s="7"/>
      <c r="F33" s="7"/>
      <c r="G33" s="7"/>
      <c r="H33" s="7"/>
      <c r="I33" s="560">
        <f>C10/$C17</f>
        <v>0.50666666666666671</v>
      </c>
      <c r="J33" s="560">
        <f>D10/$C17</f>
        <v>0.6333333333333333</v>
      </c>
      <c r="K33" s="560">
        <f>E10/$C17</f>
        <v>0.7</v>
      </c>
      <c r="L33" s="560"/>
      <c r="M33" s="560"/>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7" customHeight="1" x14ac:dyDescent="0.25">
      <c r="A34" s="7"/>
      <c r="B34" s="7"/>
      <c r="C34" s="7"/>
      <c r="D34" s="7"/>
      <c r="E34" s="7"/>
      <c r="F34" s="7"/>
      <c r="G34" s="7"/>
      <c r="H34" s="7"/>
      <c r="I34" s="560">
        <f>C11/$C18</f>
        <v>0.51944444444444449</v>
      </c>
      <c r="J34" s="560">
        <f>D11/$C18</f>
        <v>0.65</v>
      </c>
      <c r="K34" s="560"/>
      <c r="L34" s="560"/>
      <c r="M34" s="560"/>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7" customHeight="1" x14ac:dyDescent="0.25">
      <c r="A35" s="7"/>
      <c r="B35" s="7"/>
      <c r="C35" s="7"/>
      <c r="D35" s="7"/>
      <c r="E35" s="7"/>
      <c r="F35" s="7"/>
      <c r="G35" s="7"/>
      <c r="H35" s="7"/>
      <c r="I35" s="560">
        <f>C12/$C19</f>
        <v>0.53636363636363638</v>
      </c>
      <c r="J35" s="560"/>
      <c r="K35" s="560"/>
      <c r="L35" s="560"/>
      <c r="M35" s="560"/>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7"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7"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7"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7"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7"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7"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7"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7"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7"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7"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7"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7"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7"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7"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7"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7"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7"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7"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7"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7"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7"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7"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7"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7"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7"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7"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7"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7"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7"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7"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7"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7"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7"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7"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7"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7"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7"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7"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7"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7"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7"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7"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7"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7"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7"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7"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7"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7"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7"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7"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7"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7"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7"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7"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7"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7"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7"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7"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7"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7"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7"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7"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7"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7"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7"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7"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7"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7"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7"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7"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7"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7"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7"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7"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7"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7"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7"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7"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7"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7"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7"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7"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7"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7"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7"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7"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7"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7"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7"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7"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7"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7"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7"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7"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7"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7"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7"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7"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7"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7"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7"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7"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7"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7"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7"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7"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7"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7"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7"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7"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7"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7"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7"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7"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7"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7"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7"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7"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7"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7"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7"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7"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7"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7"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7"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7"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7"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7"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7"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7"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7"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7"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7"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7"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7"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7"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7"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7"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7"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7"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7"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7"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7"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7"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7"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7"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7"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7"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7"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7"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7"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7"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7"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7"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7"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7"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7"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7"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7"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7"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7"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7"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7"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7"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7"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7" hidden="1" customHeight="1" x14ac:dyDescent="0.25"/>
    <row r="202" spans="1:52" ht="14.7" hidden="1" customHeight="1" x14ac:dyDescent="0.25"/>
    <row r="203" spans="1:52" ht="14.7" hidden="1" customHeight="1" x14ac:dyDescent="0.25"/>
    <row r="204" spans="1:52" ht="14.7" hidden="1" customHeight="1" x14ac:dyDescent="0.25"/>
    <row r="205" spans="1:52" ht="14.7" hidden="1" customHeight="1" x14ac:dyDescent="0.25"/>
    <row r="206" spans="1:52" ht="14.7" hidden="1" customHeight="1" x14ac:dyDescent="0.25"/>
    <row r="207" spans="1:52" ht="14.7" hidden="1" customHeight="1" x14ac:dyDescent="0.25"/>
    <row r="208" spans="1:52" ht="14.7" hidden="1" customHeight="1" x14ac:dyDescent="0.25"/>
    <row r="209" ht="14.7" hidden="1" customHeight="1" x14ac:dyDescent="0.25"/>
    <row r="210" ht="14.7" hidden="1" customHeight="1" x14ac:dyDescent="0.25"/>
    <row r="211" ht="14.7" hidden="1" customHeight="1" x14ac:dyDescent="0.25"/>
    <row r="212" ht="14.7" hidden="1" customHeight="1" x14ac:dyDescent="0.25"/>
    <row r="213" ht="14.7" hidden="1" customHeight="1" x14ac:dyDescent="0.25"/>
    <row r="214" ht="14.7" hidden="1" customHeight="1" x14ac:dyDescent="0.25"/>
    <row r="215" ht="14.7" hidden="1" customHeight="1" x14ac:dyDescent="0.25"/>
    <row r="216" ht="14.7" hidden="1" customHeight="1" x14ac:dyDescent="0.25"/>
    <row r="217" ht="14.7" hidden="1" customHeight="1" x14ac:dyDescent="0.25"/>
    <row r="218" ht="14.7" hidden="1" customHeight="1" x14ac:dyDescent="0.25"/>
    <row r="219" ht="14.7" hidden="1" customHeight="1" x14ac:dyDescent="0.25"/>
    <row r="220" ht="14.7" hidden="1" customHeight="1" x14ac:dyDescent="0.25"/>
    <row r="221" ht="14.7"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sheetData>
  <conditionalFormatting sqref="B1">
    <cfRule type="cellIs" dxfId="89" priority="1" operator="equal">
      <formula>"Review Later"</formula>
    </cfRule>
    <cfRule type="cellIs" dxfId="88" priority="2" operator="equal">
      <formula>"Finished"</formula>
    </cfRule>
    <cfRule type="cellIs" dxfId="87" priority="3" operator="equal">
      <formula>"Incomplete"</formula>
    </cfRule>
  </conditionalFormatting>
  <pageMargins left="0.7" right="0.7" top="0.75" bottom="0.75" header="0.51180555555555496" footer="0.51180555555555496"/>
  <pageSetup firstPageNumber="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5" workbookViewId="0"/>
  </sheetViews>
  <sheetFormatPr defaultColWidth="0" defaultRowHeight="0" customHeight="1" zeroHeight="1" x14ac:dyDescent="0.25"/>
  <cols>
    <col min="1" max="1" width="11.5546875" style="765" customWidth="1"/>
    <col min="2" max="2" width="20" style="765" customWidth="1"/>
    <col min="3" max="6" width="15.44140625" style="765" customWidth="1"/>
    <col min="7" max="7" width="7.44140625" style="765" customWidth="1"/>
    <col min="8" max="12" width="15.44140625" style="765" customWidth="1"/>
    <col min="13" max="13" width="8.77734375" style="765" customWidth="1"/>
    <col min="14" max="52" width="8.5546875" style="765" customWidth="1"/>
    <col min="53" max="55" width="0" style="765" hidden="1" customWidth="1"/>
    <col min="56" max="16384" width="8.5546875" style="765" hidden="1"/>
  </cols>
  <sheetData>
    <row r="1" spans="1:52" ht="14.55" customHeight="1" thickBot="1" x14ac:dyDescent="0.3">
      <c r="A1" s="3">
        <v>18</v>
      </c>
      <c r="B1" s="4"/>
      <c r="C1" s="993"/>
      <c r="D1" s="978"/>
      <c r="E1" s="978"/>
      <c r="F1" s="978"/>
      <c r="G1" s="978"/>
      <c r="H1" s="978"/>
      <c r="I1" s="978"/>
      <c r="J1" s="978"/>
      <c r="K1" s="978"/>
      <c r="L1" s="978"/>
      <c r="M1" s="977"/>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row>
    <row r="2" spans="1:52" ht="14.55" customHeight="1" x14ac:dyDescent="0.25">
      <c r="A2" s="767" t="s">
        <v>4</v>
      </c>
      <c r="B2" s="768"/>
      <c r="C2" s="771"/>
      <c r="D2" s="771"/>
      <c r="E2" s="771"/>
      <c r="F2" s="771"/>
      <c r="G2" s="771"/>
      <c r="H2" s="771"/>
      <c r="I2" s="771"/>
      <c r="J2" s="771"/>
      <c r="K2" s="771"/>
      <c r="L2" s="771"/>
      <c r="M2" s="788"/>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row>
    <row r="3" spans="1:52" ht="14.55" customHeight="1" x14ac:dyDescent="0.25">
      <c r="A3" s="769">
        <v>2.5</v>
      </c>
      <c r="B3" s="665"/>
      <c r="C3" s="771"/>
      <c r="D3" s="771"/>
      <c r="E3" s="771"/>
      <c r="F3" s="771"/>
      <c r="G3" s="771"/>
      <c r="H3" s="771"/>
      <c r="I3" s="771"/>
      <c r="J3" s="771"/>
      <c r="K3" s="771"/>
      <c r="L3" s="771"/>
      <c r="M3" s="788"/>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row>
    <row r="4" spans="1:52" ht="14.55" customHeight="1" x14ac:dyDescent="0.25">
      <c r="A4" s="770"/>
      <c r="B4" s="992" t="s">
        <v>1219</v>
      </c>
      <c r="C4" s="771"/>
      <c r="D4" s="771"/>
      <c r="E4" s="771"/>
      <c r="F4" s="771"/>
      <c r="G4" s="771"/>
      <c r="H4" s="771"/>
      <c r="I4" s="771"/>
      <c r="J4" s="771"/>
      <c r="K4" s="771"/>
      <c r="L4" s="771"/>
      <c r="M4" s="788"/>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row>
    <row r="5" spans="1:52" ht="14.55" customHeight="1" thickBot="1" x14ac:dyDescent="0.3">
      <c r="A5" s="770"/>
      <c r="B5" s="771"/>
      <c r="C5" s="771"/>
      <c r="D5" s="771"/>
      <c r="E5" s="771"/>
      <c r="F5" s="771"/>
      <c r="G5" s="771"/>
      <c r="H5" s="771"/>
      <c r="I5" s="771"/>
      <c r="J5" s="771"/>
      <c r="K5" s="771"/>
      <c r="L5" s="771"/>
      <c r="M5" s="788"/>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AW5" s="766"/>
      <c r="AX5" s="766"/>
      <c r="AY5" s="766"/>
      <c r="AZ5" s="766"/>
    </row>
    <row r="6" spans="1:52" ht="14.55" customHeight="1" x14ac:dyDescent="0.25">
      <c r="A6" s="770"/>
      <c r="B6" s="923" t="s">
        <v>117</v>
      </c>
      <c r="C6" s="922" t="s">
        <v>1203</v>
      </c>
      <c r="D6" s="921"/>
      <c r="E6" s="921"/>
      <c r="F6" s="920"/>
      <c r="G6" s="771"/>
      <c r="H6" s="923" t="s">
        <v>117</v>
      </c>
      <c r="I6" s="922" t="s">
        <v>766</v>
      </c>
      <c r="J6" s="921"/>
      <c r="K6" s="921"/>
      <c r="L6" s="920"/>
      <c r="M6" s="788"/>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55" customHeight="1" thickBot="1" x14ac:dyDescent="0.3">
      <c r="A7" s="770"/>
      <c r="B7" s="917" t="s">
        <v>94</v>
      </c>
      <c r="C7" s="916">
        <v>12</v>
      </c>
      <c r="D7" s="915">
        <v>24</v>
      </c>
      <c r="E7" s="915">
        <v>36</v>
      </c>
      <c r="F7" s="914">
        <v>48</v>
      </c>
      <c r="G7" s="771"/>
      <c r="H7" s="917" t="s">
        <v>94</v>
      </c>
      <c r="I7" s="916">
        <v>12</v>
      </c>
      <c r="J7" s="915">
        <v>24</v>
      </c>
      <c r="K7" s="915">
        <v>36</v>
      </c>
      <c r="L7" s="914">
        <v>48</v>
      </c>
      <c r="M7" s="788"/>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55" customHeight="1" x14ac:dyDescent="0.25">
      <c r="A8" s="770"/>
      <c r="B8" s="912">
        <v>2014</v>
      </c>
      <c r="C8" s="932">
        <v>3002</v>
      </c>
      <c r="D8" s="931">
        <v>3585</v>
      </c>
      <c r="E8" s="931">
        <v>3857</v>
      </c>
      <c r="F8" s="930">
        <v>4020</v>
      </c>
      <c r="G8" s="991"/>
      <c r="H8" s="912">
        <v>2014</v>
      </c>
      <c r="I8" s="932">
        <v>940</v>
      </c>
      <c r="J8" s="931">
        <v>975</v>
      </c>
      <c r="K8" s="931">
        <v>980</v>
      </c>
      <c r="L8" s="930">
        <v>980</v>
      </c>
      <c r="M8" s="788"/>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55" customHeight="1" x14ac:dyDescent="0.25">
      <c r="A9" s="770"/>
      <c r="B9" s="908">
        <v>2015</v>
      </c>
      <c r="C9" s="929">
        <v>3440</v>
      </c>
      <c r="D9" s="928">
        <v>4107</v>
      </c>
      <c r="E9" s="928">
        <v>4522</v>
      </c>
      <c r="F9" s="927"/>
      <c r="G9" s="991"/>
      <c r="H9" s="908">
        <v>2015</v>
      </c>
      <c r="I9" s="929">
        <v>1060</v>
      </c>
      <c r="J9" s="928">
        <v>1103</v>
      </c>
      <c r="K9" s="928">
        <v>1106</v>
      </c>
      <c r="L9" s="927"/>
      <c r="M9" s="788"/>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55" customHeight="1" x14ac:dyDescent="0.25">
      <c r="A10" s="770"/>
      <c r="B10" s="908">
        <v>2016</v>
      </c>
      <c r="C10" s="929">
        <v>3427</v>
      </c>
      <c r="D10" s="928">
        <v>4109</v>
      </c>
      <c r="E10" s="928"/>
      <c r="F10" s="927"/>
      <c r="G10" s="991"/>
      <c r="H10" s="908">
        <v>2016</v>
      </c>
      <c r="I10" s="929">
        <v>1053</v>
      </c>
      <c r="J10" s="928">
        <v>1095</v>
      </c>
      <c r="K10" s="928"/>
      <c r="L10" s="927"/>
      <c r="M10" s="788"/>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55" customHeight="1" thickBot="1" x14ac:dyDescent="0.3">
      <c r="A11" s="770"/>
      <c r="B11" s="904">
        <v>2017</v>
      </c>
      <c r="C11" s="926" t="s">
        <v>1218</v>
      </c>
      <c r="D11" s="925"/>
      <c r="E11" s="925"/>
      <c r="F11" s="924"/>
      <c r="G11" s="991"/>
      <c r="H11" s="904">
        <v>2017</v>
      </c>
      <c r="I11" s="926">
        <v>1085</v>
      </c>
      <c r="J11" s="925"/>
      <c r="K11" s="925"/>
      <c r="L11" s="924"/>
      <c r="M11" s="788"/>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55" customHeight="1" x14ac:dyDescent="0.25">
      <c r="A12" s="770"/>
      <c r="B12" s="771"/>
      <c r="C12" s="771"/>
      <c r="D12" s="771"/>
      <c r="E12" s="771"/>
      <c r="F12" s="771"/>
      <c r="G12" s="771"/>
      <c r="H12" s="771"/>
      <c r="I12" s="991"/>
      <c r="J12" s="991"/>
      <c r="K12" s="991"/>
      <c r="L12" s="991"/>
      <c r="M12" s="788"/>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55" customHeight="1" thickBot="1" x14ac:dyDescent="0.3">
      <c r="A13" s="770"/>
      <c r="B13" s="771"/>
      <c r="C13" s="771"/>
      <c r="D13" s="771"/>
      <c r="E13" s="771"/>
      <c r="F13" s="771"/>
      <c r="G13" s="771"/>
      <c r="H13" s="771"/>
      <c r="I13" s="771"/>
      <c r="J13" s="771"/>
      <c r="K13" s="771"/>
      <c r="L13" s="771"/>
      <c r="M13" s="788"/>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55" customHeight="1" x14ac:dyDescent="0.25">
      <c r="A14" s="770"/>
      <c r="B14" s="923" t="s">
        <v>117</v>
      </c>
      <c r="C14" s="990" t="s">
        <v>1217</v>
      </c>
      <c r="D14" s="921"/>
      <c r="E14" s="920"/>
      <c r="F14" s="771"/>
      <c r="G14" s="771"/>
      <c r="H14" s="923" t="s">
        <v>117</v>
      </c>
      <c r="I14" s="989" t="s">
        <v>1216</v>
      </c>
      <c r="J14" s="921"/>
      <c r="K14" s="920"/>
      <c r="L14" s="981"/>
      <c r="M14" s="788"/>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55" customHeight="1" thickBot="1" x14ac:dyDescent="0.3">
      <c r="A15" s="770"/>
      <c r="B15" s="917" t="s">
        <v>94</v>
      </c>
      <c r="C15" s="653" t="s">
        <v>149</v>
      </c>
      <c r="D15" s="654" t="s">
        <v>150</v>
      </c>
      <c r="E15" s="655" t="s">
        <v>151</v>
      </c>
      <c r="F15" s="798"/>
      <c r="G15" s="798"/>
      <c r="H15" s="917" t="s">
        <v>94</v>
      </c>
      <c r="I15" s="653" t="s">
        <v>149</v>
      </c>
      <c r="J15" s="654" t="s">
        <v>150</v>
      </c>
      <c r="K15" s="655" t="s">
        <v>151</v>
      </c>
      <c r="L15" s="988"/>
      <c r="M15" s="788"/>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55" customHeight="1" x14ac:dyDescent="0.25">
      <c r="A16" s="770"/>
      <c r="B16" s="912">
        <v>2014</v>
      </c>
      <c r="C16" s="987">
        <v>1.1942038640906063</v>
      </c>
      <c r="D16" s="986">
        <v>1.0758716875871688</v>
      </c>
      <c r="E16" s="985">
        <v>1.0422608244749805</v>
      </c>
      <c r="F16" s="771"/>
      <c r="G16" s="771"/>
      <c r="H16" s="912">
        <v>2014</v>
      </c>
      <c r="I16" s="987">
        <v>1.0372340425531914</v>
      </c>
      <c r="J16" s="986">
        <v>1.0051282051282051</v>
      </c>
      <c r="K16" s="985">
        <v>1</v>
      </c>
      <c r="L16" s="981"/>
      <c r="M16" s="788"/>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55" customHeight="1" x14ac:dyDescent="0.25">
      <c r="A17" s="770"/>
      <c r="B17" s="908">
        <v>2015</v>
      </c>
      <c r="C17" s="984">
        <v>1.1938953488372093</v>
      </c>
      <c r="D17" s="983">
        <v>1.1010469929388849</v>
      </c>
      <c r="E17" s="964"/>
      <c r="F17" s="771"/>
      <c r="G17" s="771"/>
      <c r="H17" s="908">
        <v>2015</v>
      </c>
      <c r="I17" s="984">
        <v>1.040566037735849</v>
      </c>
      <c r="J17" s="983">
        <v>1.0027198549410699</v>
      </c>
      <c r="K17" s="964"/>
      <c r="L17" s="981"/>
      <c r="M17" s="788"/>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55" customHeight="1" thickBot="1" x14ac:dyDescent="0.3">
      <c r="A18" s="770"/>
      <c r="B18" s="904">
        <v>2016</v>
      </c>
      <c r="C18" s="982">
        <v>1.1990078786110301</v>
      </c>
      <c r="D18" s="915"/>
      <c r="E18" s="914"/>
      <c r="F18" s="771"/>
      <c r="G18" s="771"/>
      <c r="H18" s="904">
        <v>2016</v>
      </c>
      <c r="I18" s="982">
        <v>1.0398860398860399</v>
      </c>
      <c r="J18" s="915"/>
      <c r="K18" s="914"/>
      <c r="L18" s="981"/>
      <c r="M18" s="788"/>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55" customHeight="1" thickBot="1" x14ac:dyDescent="0.3">
      <c r="A19" s="770"/>
      <c r="B19" s="771"/>
      <c r="C19" s="771"/>
      <c r="D19" s="771"/>
      <c r="E19" s="771"/>
      <c r="F19" s="771"/>
      <c r="G19" s="771"/>
      <c r="H19" s="771"/>
      <c r="I19" s="771"/>
      <c r="J19" s="771"/>
      <c r="K19" s="771"/>
      <c r="L19" s="771"/>
      <c r="M19" s="788"/>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55" customHeight="1" x14ac:dyDescent="0.25">
      <c r="A20" s="770"/>
      <c r="B20" s="980">
        <v>0.05</v>
      </c>
      <c r="C20" s="979" t="s">
        <v>1215</v>
      </c>
      <c r="D20" s="978"/>
      <c r="E20" s="978"/>
      <c r="F20" s="978"/>
      <c r="G20" s="978"/>
      <c r="H20" s="978"/>
      <c r="I20" s="978"/>
      <c r="J20" s="977"/>
      <c r="K20" s="771"/>
      <c r="L20" s="771"/>
      <c r="M20" s="788"/>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55" customHeight="1" thickBot="1" x14ac:dyDescent="0.3">
      <c r="A21" s="770"/>
      <c r="B21" s="976">
        <v>0.3</v>
      </c>
      <c r="C21" s="975" t="s">
        <v>1214</v>
      </c>
      <c r="D21" s="792"/>
      <c r="E21" s="792"/>
      <c r="F21" s="792"/>
      <c r="G21" s="792"/>
      <c r="H21" s="792"/>
      <c r="I21" s="792"/>
      <c r="J21" s="793"/>
      <c r="K21" s="771"/>
      <c r="L21" s="771"/>
      <c r="M21" s="788"/>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55" customHeight="1" x14ac:dyDescent="0.25">
      <c r="A22" s="770"/>
      <c r="B22" s="771"/>
      <c r="C22" s="771"/>
      <c r="D22" s="771"/>
      <c r="E22" s="771"/>
      <c r="F22" s="771"/>
      <c r="G22" s="771"/>
      <c r="H22" s="771"/>
      <c r="I22" s="771"/>
      <c r="J22" s="771"/>
      <c r="K22" s="771"/>
      <c r="L22" s="771"/>
      <c r="M22" s="788"/>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55" customHeight="1" x14ac:dyDescent="0.25">
      <c r="A23" s="770"/>
      <c r="B23" s="974" t="s">
        <v>1213</v>
      </c>
      <c r="C23" s="771"/>
      <c r="D23" s="771"/>
      <c r="E23" s="771"/>
      <c r="F23" s="771"/>
      <c r="G23" s="771"/>
      <c r="H23" s="771"/>
      <c r="I23" s="771"/>
      <c r="J23" s="771"/>
      <c r="K23" s="771"/>
      <c r="L23" s="771"/>
      <c r="M23" s="788"/>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55" customHeight="1" x14ac:dyDescent="0.25">
      <c r="A24" s="770"/>
      <c r="B24" s="973" t="s">
        <v>1212</v>
      </c>
      <c r="C24" s="771"/>
      <c r="D24" s="771"/>
      <c r="E24" s="771"/>
      <c r="F24" s="771"/>
      <c r="G24" s="771"/>
      <c r="H24" s="771"/>
      <c r="I24" s="771"/>
      <c r="J24" s="771"/>
      <c r="K24" s="771"/>
      <c r="L24" s="771"/>
      <c r="M24" s="788"/>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55" customHeight="1" x14ac:dyDescent="0.25">
      <c r="A25" s="770"/>
      <c r="B25" s="771"/>
      <c r="C25" s="771"/>
      <c r="D25" s="771"/>
      <c r="E25" s="771"/>
      <c r="F25" s="771"/>
      <c r="G25" s="771"/>
      <c r="H25" s="771"/>
      <c r="I25" s="771"/>
      <c r="J25" s="771"/>
      <c r="K25" s="771"/>
      <c r="L25" s="771"/>
      <c r="M25" s="788"/>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55" customHeight="1" x14ac:dyDescent="0.25">
      <c r="A26" s="770"/>
      <c r="B26" s="771" t="s">
        <v>1211</v>
      </c>
      <c r="C26" s="771"/>
      <c r="D26" s="771"/>
      <c r="E26" s="771"/>
      <c r="F26" s="771"/>
      <c r="G26" s="771"/>
      <c r="H26" s="771"/>
      <c r="I26" s="771"/>
      <c r="J26" s="771"/>
      <c r="K26" s="771"/>
      <c r="L26" s="771"/>
      <c r="M26" s="788"/>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55" customHeight="1" thickBot="1" x14ac:dyDescent="0.3">
      <c r="A27" s="972"/>
      <c r="B27" s="792"/>
      <c r="C27" s="792"/>
      <c r="D27" s="792"/>
      <c r="E27" s="792"/>
      <c r="F27" s="792"/>
      <c r="G27" s="792"/>
      <c r="H27" s="792"/>
      <c r="I27" s="792"/>
      <c r="J27" s="792"/>
      <c r="K27" s="792"/>
      <c r="L27" s="792"/>
      <c r="M27" s="793"/>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55" customHeight="1" x14ac:dyDescent="0.25">
      <c r="A28" s="766"/>
      <c r="B28" s="766" t="s">
        <v>1210</v>
      </c>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55" customHeight="1" x14ac:dyDescent="0.25">
      <c r="A29" s="766"/>
      <c r="B29" s="766"/>
      <c r="C29" s="76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55" customHeight="1" x14ac:dyDescent="0.25">
      <c r="A30" s="766"/>
      <c r="B30" s="766" t="s">
        <v>1209</v>
      </c>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55" customHeight="1" thickBot="1" x14ac:dyDescent="0.3">
      <c r="A31" s="766"/>
      <c r="B31" s="766"/>
      <c r="C31" s="653" t="s">
        <v>149</v>
      </c>
      <c r="D31" s="654" t="s">
        <v>150</v>
      </c>
      <c r="E31" s="655" t="s">
        <v>151</v>
      </c>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55" customHeight="1" x14ac:dyDescent="0.25">
      <c r="A32" s="766"/>
      <c r="B32" s="766" t="s">
        <v>1208</v>
      </c>
      <c r="C32" s="971">
        <f>AVERAGE(I16:I18)</f>
        <v>1.0392287067250268</v>
      </c>
      <c r="D32" s="971">
        <f>AVERAGE(J16:J17)</f>
        <v>1.0039240300346375</v>
      </c>
      <c r="E32" s="971">
        <f>AVERAGE(K16:K17)</f>
        <v>1</v>
      </c>
      <c r="F32" s="766" t="s">
        <v>1200</v>
      </c>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55" customHeight="1" x14ac:dyDescent="0.25">
      <c r="A33" s="766"/>
      <c r="B33" s="766"/>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55" customHeight="1" x14ac:dyDescent="0.25">
      <c r="A34" s="766"/>
      <c r="B34" s="766" t="s">
        <v>155</v>
      </c>
      <c r="C34" s="766">
        <f>D34*C32</f>
        <v>1.0433066713830732</v>
      </c>
      <c r="D34" s="766">
        <f>E34*D32</f>
        <v>1.0039240300346375</v>
      </c>
      <c r="E34" s="971">
        <f>E32</f>
        <v>1</v>
      </c>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55" customHeight="1" x14ac:dyDescent="0.25">
      <c r="A35" s="766"/>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55" customHeight="1" x14ac:dyDescent="0.25">
      <c r="A36" s="766"/>
      <c r="B36" s="766" t="s">
        <v>1207</v>
      </c>
      <c r="C36" s="766"/>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55" customHeight="1" x14ac:dyDescent="0.25">
      <c r="A37" s="766"/>
      <c r="B37" s="970">
        <f>C34*I11</f>
        <v>1131.9877384506344</v>
      </c>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55" customHeight="1" x14ac:dyDescent="0.25">
      <c r="A38" s="766"/>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55" customHeight="1" x14ac:dyDescent="0.25">
      <c r="A39" s="766"/>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55" customHeight="1" x14ac:dyDescent="0.25">
      <c r="A40" s="766"/>
      <c r="B40" s="766" t="s">
        <v>1206</v>
      </c>
      <c r="C40" s="766"/>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55" customHeight="1" x14ac:dyDescent="0.25">
      <c r="A41" s="766"/>
      <c r="B41" s="766" t="s">
        <v>1205</v>
      </c>
      <c r="C41" s="766"/>
      <c r="D41" s="766"/>
      <c r="E41" s="766">
        <v>0.7</v>
      </c>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55" customHeight="1" thickBot="1" x14ac:dyDescent="0.3">
      <c r="A42" s="766"/>
      <c r="B42" s="766"/>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55" customHeight="1" x14ac:dyDescent="0.25">
      <c r="A43" s="766"/>
      <c r="B43" s="923" t="s">
        <v>117</v>
      </c>
      <c r="C43" s="922" t="s">
        <v>1203</v>
      </c>
      <c r="D43" s="921"/>
      <c r="E43" s="921"/>
      <c r="F43" s="920"/>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55" customHeight="1" thickBot="1" x14ac:dyDescent="0.3">
      <c r="A44" s="766"/>
      <c r="B44" s="917" t="s">
        <v>94</v>
      </c>
      <c r="C44" s="968">
        <v>12</v>
      </c>
      <c r="D44" s="967">
        <v>24</v>
      </c>
      <c r="E44" s="967">
        <v>36</v>
      </c>
      <c r="F44" s="964">
        <v>48</v>
      </c>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55" customHeight="1" x14ac:dyDescent="0.25">
      <c r="A45" s="766"/>
      <c r="B45" s="961">
        <v>2014</v>
      </c>
      <c r="C45" s="928">
        <f>C8*$E$41</f>
        <v>2101.4</v>
      </c>
      <c r="D45" s="928">
        <f>D8*$E$41</f>
        <v>2509.5</v>
      </c>
      <c r="E45" s="928">
        <f>E8*$E$41</f>
        <v>2699.8999999999996</v>
      </c>
      <c r="F45" s="928">
        <f>F8*$E$41</f>
        <v>2814</v>
      </c>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55" customHeight="1" x14ac:dyDescent="0.25">
      <c r="A46" s="766"/>
      <c r="B46" s="960">
        <v>2015</v>
      </c>
      <c r="C46" s="928">
        <f>C9*$E$41</f>
        <v>2408</v>
      </c>
      <c r="D46" s="928">
        <f>D9*$E$41</f>
        <v>2874.8999999999996</v>
      </c>
      <c r="E46" s="928">
        <f>E9*$E$41</f>
        <v>3165.3999999999996</v>
      </c>
      <c r="F46" s="928"/>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55" customHeight="1" x14ac:dyDescent="0.25">
      <c r="A47" s="766"/>
      <c r="B47" s="960">
        <v>2016</v>
      </c>
      <c r="C47" s="928">
        <f>C10*$E$41</f>
        <v>2398.8999999999996</v>
      </c>
      <c r="D47" s="928">
        <f>D10*$E$41</f>
        <v>2876.2999999999997</v>
      </c>
      <c r="E47" s="928"/>
      <c r="F47" s="928"/>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55" customHeight="1" x14ac:dyDescent="0.25">
      <c r="A48" s="766"/>
      <c r="B48" s="766"/>
      <c r="C48" s="969"/>
      <c r="D48" s="969"/>
      <c r="E48" s="969"/>
      <c r="F48" s="969"/>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55" customHeight="1" x14ac:dyDescent="0.25">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55" customHeight="1" x14ac:dyDescent="0.25">
      <c r="A50" s="766"/>
      <c r="B50" s="766" t="s">
        <v>1204</v>
      </c>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55" customHeight="1" thickBot="1" x14ac:dyDescent="0.3">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55" customHeight="1" x14ac:dyDescent="0.25">
      <c r="A52" s="766"/>
      <c r="B52" s="923" t="s">
        <v>117</v>
      </c>
      <c r="C52" s="922" t="s">
        <v>1203</v>
      </c>
      <c r="D52" s="921"/>
      <c r="E52" s="921"/>
      <c r="F52" s="920"/>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55" customHeight="1" thickBot="1" x14ac:dyDescent="0.3">
      <c r="A53" s="766"/>
      <c r="B53" s="917" t="s">
        <v>94</v>
      </c>
      <c r="C53" s="968">
        <v>12</v>
      </c>
      <c r="D53" s="967">
        <v>24</v>
      </c>
      <c r="E53" s="967">
        <v>36</v>
      </c>
      <c r="F53" s="964">
        <v>48</v>
      </c>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55" customHeight="1" x14ac:dyDescent="0.25">
      <c r="A54" s="766"/>
      <c r="B54" s="961">
        <v>2014</v>
      </c>
      <c r="C54" s="963">
        <f>C45/I8</f>
        <v>2.2355319148936172</v>
      </c>
      <c r="D54" s="963">
        <f>D45/J8</f>
        <v>2.5738461538461537</v>
      </c>
      <c r="E54" s="963">
        <f>E45/K8</f>
        <v>2.7549999999999994</v>
      </c>
      <c r="F54" s="963">
        <f>F45/L8</f>
        <v>2.8714285714285714</v>
      </c>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55" customHeight="1" x14ac:dyDescent="0.25">
      <c r="A55" s="766"/>
      <c r="B55" s="960">
        <v>2015</v>
      </c>
      <c r="C55" s="963">
        <f>C46/I9</f>
        <v>2.2716981132075471</v>
      </c>
      <c r="D55" s="963">
        <f>D46/J9</f>
        <v>2.6064369900271984</v>
      </c>
      <c r="E55" s="963">
        <f>E46/K9</f>
        <v>2.8620253164556959</v>
      </c>
      <c r="F55" s="963"/>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55" customHeight="1" x14ac:dyDescent="0.25">
      <c r="A56" s="766"/>
      <c r="B56" s="960">
        <v>2016</v>
      </c>
      <c r="C56" s="963">
        <f>C47/I10</f>
        <v>2.278157644824311</v>
      </c>
      <c r="D56" s="963">
        <f>D47/J10</f>
        <v>2.6267579908675796</v>
      </c>
      <c r="E56" s="963"/>
      <c r="F56" s="963"/>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55" customHeight="1" thickBot="1" x14ac:dyDescent="0.3">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55" customHeight="1" x14ac:dyDescent="0.25">
      <c r="A58" s="766"/>
      <c r="B58" s="923" t="s">
        <v>117</v>
      </c>
      <c r="C58" s="922" t="s">
        <v>1203</v>
      </c>
      <c r="D58" s="921"/>
      <c r="E58" s="921"/>
      <c r="F58" s="920"/>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55" customHeight="1" thickBot="1" x14ac:dyDescent="0.3">
      <c r="A59" s="766"/>
      <c r="B59" s="917" t="s">
        <v>94</v>
      </c>
      <c r="C59" s="966" t="s">
        <v>149</v>
      </c>
      <c r="D59" s="965" t="s">
        <v>150</v>
      </c>
      <c r="E59" s="965" t="s">
        <v>151</v>
      </c>
      <c r="F59" s="964"/>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55" customHeight="1" x14ac:dyDescent="0.25">
      <c r="A60" s="766"/>
      <c r="B60" s="961">
        <v>2014</v>
      </c>
      <c r="C60" s="963">
        <f>D54/C54</f>
        <v>1.1513350074309432</v>
      </c>
      <c r="D60" s="963">
        <f>E54/D54</f>
        <v>1.0703825463239687</v>
      </c>
      <c r="E60" s="963">
        <f>F54/E54</f>
        <v>1.0422608244749807</v>
      </c>
      <c r="F60" s="963"/>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55" customHeight="1" x14ac:dyDescent="0.25">
      <c r="A61" s="766"/>
      <c r="B61" s="960">
        <v>2015</v>
      </c>
      <c r="C61" s="963">
        <f>D55/C55</f>
        <v>1.1473518311581521</v>
      </c>
      <c r="D61" s="963">
        <f>E55/D55</f>
        <v>1.0980604278585804</v>
      </c>
      <c r="E61" s="963"/>
      <c r="F61" s="963"/>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55" customHeight="1" x14ac:dyDescent="0.25">
      <c r="A62" s="766"/>
      <c r="B62" s="960">
        <v>2016</v>
      </c>
      <c r="C62" s="963">
        <f>D56/C56</f>
        <v>1.1530185353218398</v>
      </c>
      <c r="D62" s="963"/>
      <c r="E62" s="963"/>
      <c r="F62" s="963"/>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55" customHeight="1" x14ac:dyDescent="0.25">
      <c r="A63" s="766"/>
      <c r="B63" s="766" t="s">
        <v>1202</v>
      </c>
      <c r="C63" s="962">
        <f>AVERAGE(C60:C62)</f>
        <v>1.1505684579703115</v>
      </c>
      <c r="D63" s="962">
        <f>AVERAGE(D60:D62)</f>
        <v>1.0842214870912745</v>
      </c>
      <c r="E63" s="962">
        <f>AVERAGE(E60:E62)</f>
        <v>1.0422608244749807</v>
      </c>
      <c r="F63" s="766"/>
      <c r="G63" s="766"/>
      <c r="H63" s="766" t="s">
        <v>1201</v>
      </c>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55" customHeight="1" x14ac:dyDescent="0.25">
      <c r="A64" s="766"/>
      <c r="B64" s="766"/>
      <c r="C64" s="766"/>
      <c r="D64" s="766"/>
      <c r="E64" s="766"/>
      <c r="F64" s="766"/>
      <c r="G64" s="766"/>
      <c r="H64" s="766" t="s">
        <v>1200</v>
      </c>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55" customHeight="1" x14ac:dyDescent="0.25">
      <c r="A65" s="766"/>
      <c r="B65" s="766" t="s">
        <v>155</v>
      </c>
      <c r="C65" s="766">
        <f>D65*C63</f>
        <v>1.3001901993501586</v>
      </c>
      <c r="D65" s="766">
        <f>E65*D63</f>
        <v>1.1300415810492415</v>
      </c>
      <c r="E65" s="766">
        <f>F65*E63</f>
        <v>1.0422608244749807</v>
      </c>
      <c r="F65" s="766">
        <v>1</v>
      </c>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55" customHeight="1" x14ac:dyDescent="0.25">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55" customHeight="1" thickBot="1" x14ac:dyDescent="0.3">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55" customHeight="1" x14ac:dyDescent="0.25">
      <c r="A68" s="766"/>
      <c r="B68" s="923" t="s">
        <v>117</v>
      </c>
      <c r="C68" s="766" t="s">
        <v>1199</v>
      </c>
      <c r="D68" s="766" t="s">
        <v>1198</v>
      </c>
      <c r="E68" s="766" t="s">
        <v>1197</v>
      </c>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55" customHeight="1" thickBot="1" x14ac:dyDescent="0.3">
      <c r="A69" s="766"/>
      <c r="B69" s="917" t="s">
        <v>94</v>
      </c>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55" customHeight="1" x14ac:dyDescent="0.25">
      <c r="A70" s="766"/>
      <c r="B70" s="961">
        <v>2014</v>
      </c>
      <c r="C70" s="766">
        <f>F54*F65</f>
        <v>2.8714285714285714</v>
      </c>
      <c r="D70" s="766">
        <f>(1+B20)^3</f>
        <v>1.1576250000000001</v>
      </c>
      <c r="E70" s="958">
        <f>C70*D70*1000</f>
        <v>3324.0375000000004</v>
      </c>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55" customHeight="1" x14ac:dyDescent="0.25">
      <c r="A71" s="766"/>
      <c r="B71" s="960">
        <v>2015</v>
      </c>
      <c r="C71" s="766">
        <f>E55*E65</f>
        <v>2.9829768659973812</v>
      </c>
      <c r="D71" s="766">
        <f>(1+B20)^2</f>
        <v>1.1025</v>
      </c>
      <c r="E71" s="958">
        <f>C71*D71*1000</f>
        <v>3288.7319947621131</v>
      </c>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55" customHeight="1" x14ac:dyDescent="0.25">
      <c r="A72" s="766"/>
      <c r="B72" s="960">
        <v>2016</v>
      </c>
      <c r="C72" s="766">
        <f>D65*D56</f>
        <v>2.9683457530337285</v>
      </c>
      <c r="D72" s="959">
        <f>(1+B20)</f>
        <v>1.05</v>
      </c>
      <c r="E72" s="958">
        <f>C72*D72*1000</f>
        <v>3116.763040685415</v>
      </c>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55" customHeight="1" x14ac:dyDescent="0.25">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55" customHeight="1" x14ac:dyDescent="0.25">
      <c r="A74" s="766"/>
      <c r="B74" s="766"/>
      <c r="C74" s="766"/>
      <c r="D74" s="766" t="s">
        <v>1196</v>
      </c>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55" customHeight="1" x14ac:dyDescent="0.25">
      <c r="A75" s="766"/>
      <c r="B75" s="766"/>
      <c r="C75" s="766"/>
      <c r="D75" s="766"/>
      <c r="E75" s="958">
        <f>AVERAGE(E70:E72)</f>
        <v>3243.1775118158425</v>
      </c>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55" customHeight="1" x14ac:dyDescent="0.25">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55" customHeight="1" x14ac:dyDescent="0.25">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55" customHeight="1" thickBot="1" x14ac:dyDescent="0.3">
      <c r="A78" s="766"/>
      <c r="B78" s="766" t="s">
        <v>1195</v>
      </c>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55" customHeight="1" thickBot="1" x14ac:dyDescent="0.3">
      <c r="A79" s="766"/>
      <c r="B79" s="957">
        <f>E75*B37</f>
        <v>3671237.1769943712</v>
      </c>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55" customHeight="1" x14ac:dyDescent="0.25">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55" customHeight="1" x14ac:dyDescent="0.25">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55" customHeight="1" x14ac:dyDescent="0.25">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55" customHeight="1" x14ac:dyDescent="0.25">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55" customHeight="1" x14ac:dyDescent="0.25">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55" customHeight="1" x14ac:dyDescent="0.25">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55" customHeight="1" x14ac:dyDescent="0.25">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55" customHeight="1" x14ac:dyDescent="0.25">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55" customHeight="1" x14ac:dyDescent="0.25">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55" customHeight="1" x14ac:dyDescent="0.25">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55" customHeight="1" x14ac:dyDescent="0.25">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55" customHeight="1" x14ac:dyDescent="0.25">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55" customHeight="1" x14ac:dyDescent="0.25">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55" customHeight="1" x14ac:dyDescent="0.25">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55" customHeight="1" x14ac:dyDescent="0.25">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55" customHeight="1" x14ac:dyDescent="0.25">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55" customHeight="1" x14ac:dyDescent="0.25">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55" customHeight="1" x14ac:dyDescent="0.25">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55" customHeight="1" x14ac:dyDescent="0.25">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55" customHeight="1" x14ac:dyDescent="0.25">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55" customHeight="1" x14ac:dyDescent="0.25">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55" customHeight="1" x14ac:dyDescent="0.25">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55" customHeight="1" x14ac:dyDescent="0.25">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55" customHeight="1" x14ac:dyDescent="0.25">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55" customHeight="1" x14ac:dyDescent="0.25">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55" customHeight="1" x14ac:dyDescent="0.25">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55" customHeight="1" x14ac:dyDescent="0.25">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55" customHeight="1" x14ac:dyDescent="0.25">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55" customHeight="1" x14ac:dyDescent="0.25">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55" customHeight="1" x14ac:dyDescent="0.25">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55" customHeight="1" x14ac:dyDescent="0.25">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55" customHeight="1" x14ac:dyDescent="0.25">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55" customHeight="1" x14ac:dyDescent="0.25">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55" customHeight="1" x14ac:dyDescent="0.25">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55" customHeight="1" x14ac:dyDescent="0.25">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55" customHeight="1" x14ac:dyDescent="0.25">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55" customHeight="1" x14ac:dyDescent="0.25">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55" customHeight="1" x14ac:dyDescent="0.25">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55" customHeight="1" x14ac:dyDescent="0.25">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55" customHeight="1" x14ac:dyDescent="0.25">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55" customHeight="1" x14ac:dyDescent="0.25">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55" customHeight="1" x14ac:dyDescent="0.25">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55" customHeight="1" x14ac:dyDescent="0.2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55" customHeight="1" x14ac:dyDescent="0.2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55" customHeight="1" x14ac:dyDescent="0.2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55" customHeight="1" x14ac:dyDescent="0.2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55" customHeight="1" x14ac:dyDescent="0.2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55" customHeight="1" x14ac:dyDescent="0.2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55" customHeight="1" x14ac:dyDescent="0.2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55" customHeight="1" x14ac:dyDescent="0.2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55" customHeight="1" x14ac:dyDescent="0.2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55" customHeight="1" x14ac:dyDescent="0.2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55" customHeight="1" x14ac:dyDescent="0.2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55" customHeight="1" x14ac:dyDescent="0.2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55" customHeight="1" x14ac:dyDescent="0.2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55" customHeight="1" x14ac:dyDescent="0.2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55" customHeight="1" x14ac:dyDescent="0.2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55" customHeight="1" x14ac:dyDescent="0.2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55" customHeight="1" x14ac:dyDescent="0.2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55" customHeight="1" x14ac:dyDescent="0.2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55" customHeight="1" x14ac:dyDescent="0.2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55" customHeight="1" x14ac:dyDescent="0.2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55" customHeight="1" x14ac:dyDescent="0.2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55" customHeight="1" x14ac:dyDescent="0.2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55" customHeight="1" x14ac:dyDescent="0.2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55" customHeight="1" x14ac:dyDescent="0.2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55" customHeight="1" x14ac:dyDescent="0.2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55" customHeight="1" x14ac:dyDescent="0.2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55" customHeight="1" x14ac:dyDescent="0.2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55" customHeight="1" x14ac:dyDescent="0.2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55" customHeight="1" x14ac:dyDescent="0.2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55" customHeight="1" x14ac:dyDescent="0.2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55" customHeight="1" x14ac:dyDescent="0.2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55" customHeight="1" x14ac:dyDescent="0.2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55" customHeight="1" x14ac:dyDescent="0.2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55" customHeight="1" x14ac:dyDescent="0.2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55" customHeight="1" x14ac:dyDescent="0.2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55" customHeight="1" x14ac:dyDescent="0.2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55" customHeight="1" x14ac:dyDescent="0.2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55" customHeight="1" x14ac:dyDescent="0.2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55" customHeight="1" x14ac:dyDescent="0.2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55" customHeight="1" x14ac:dyDescent="0.2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55" customHeight="1" x14ac:dyDescent="0.2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55" customHeight="1" x14ac:dyDescent="0.2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55" customHeight="1" x14ac:dyDescent="0.2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55" customHeight="1" x14ac:dyDescent="0.2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55" customHeight="1" x14ac:dyDescent="0.2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55" customHeight="1" x14ac:dyDescent="0.2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55" customHeight="1" x14ac:dyDescent="0.2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55" customHeight="1" x14ac:dyDescent="0.2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55" customHeight="1" x14ac:dyDescent="0.2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55" customHeight="1" x14ac:dyDescent="0.2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55" customHeight="1" x14ac:dyDescent="0.2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55" customHeight="1" x14ac:dyDescent="0.2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55" customHeight="1" x14ac:dyDescent="0.2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55" customHeight="1" x14ac:dyDescent="0.2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55" customHeight="1" x14ac:dyDescent="0.2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55" customHeight="1" x14ac:dyDescent="0.2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55" customHeight="1" x14ac:dyDescent="0.2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55" customHeight="1" x14ac:dyDescent="0.2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55" customHeight="1" x14ac:dyDescent="0.2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55" customHeight="1" x14ac:dyDescent="0.2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55" customHeight="1" x14ac:dyDescent="0.2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55" customHeight="1" x14ac:dyDescent="0.2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55" customHeight="1" x14ac:dyDescent="0.2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55" customHeight="1" x14ac:dyDescent="0.2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55" customHeight="1" x14ac:dyDescent="0.2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55" customHeight="1" x14ac:dyDescent="0.2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55" customHeight="1" x14ac:dyDescent="0.2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55" customHeight="1" x14ac:dyDescent="0.2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55" customHeight="1" x14ac:dyDescent="0.2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55" customHeight="1" x14ac:dyDescent="0.2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55" customHeight="1" x14ac:dyDescent="0.2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55" customHeight="1" x14ac:dyDescent="0.2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55" customHeight="1" x14ac:dyDescent="0.2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55" customHeight="1" x14ac:dyDescent="0.2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86" priority="1" operator="equal">
      <formula>"Review Later"</formula>
    </cfRule>
    <cfRule type="cellIs" dxfId="85" priority="2" operator="equal">
      <formula>"Finished"</formula>
    </cfRule>
    <cfRule type="cellIs" dxfId="84" priority="3" operator="equal">
      <formula>"Incomplete"</formula>
    </cfRule>
  </conditionalFormatting>
  <pageMargins left="0.75" right="0.75" top="1"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5" workbookViewId="0"/>
  </sheetViews>
  <sheetFormatPr defaultColWidth="0" defaultRowHeight="0" customHeight="1" zeroHeight="1" x14ac:dyDescent="0.25"/>
  <cols>
    <col min="1" max="1" width="11.5546875" style="765" customWidth="1"/>
    <col min="2" max="6" width="15.44140625" style="765" customWidth="1"/>
    <col min="7" max="7" width="7.44140625" style="765" customWidth="1"/>
    <col min="8" max="12" width="15.44140625" style="765" customWidth="1"/>
    <col min="13" max="13" width="8.77734375" style="765" customWidth="1"/>
    <col min="14" max="52" width="8.5546875" style="765" customWidth="1"/>
    <col min="53" max="55" width="0" style="765" hidden="1" customWidth="1"/>
    <col min="56" max="16384" width="8.5546875" style="765" hidden="1"/>
  </cols>
  <sheetData>
    <row r="1" spans="1:52" ht="14.55" customHeight="1" thickBot="1" x14ac:dyDescent="0.3">
      <c r="A1" s="3">
        <v>18</v>
      </c>
      <c r="B1" s="4"/>
      <c r="C1" s="993"/>
      <c r="D1" s="978"/>
      <c r="E1" s="978"/>
      <c r="F1" s="978"/>
      <c r="G1" s="978"/>
      <c r="H1" s="978"/>
      <c r="I1" s="978"/>
      <c r="J1" s="978"/>
      <c r="K1" s="978"/>
      <c r="L1" s="978"/>
      <c r="M1" s="977"/>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row>
    <row r="2" spans="1:52" ht="14.55" customHeight="1" x14ac:dyDescent="0.25">
      <c r="A2" s="767" t="s">
        <v>4</v>
      </c>
      <c r="B2" s="768"/>
      <c r="C2" s="771"/>
      <c r="D2" s="771"/>
      <c r="E2" s="771"/>
      <c r="F2" s="771"/>
      <c r="G2" s="771"/>
      <c r="H2" s="771"/>
      <c r="I2" s="771"/>
      <c r="J2" s="771"/>
      <c r="K2" s="771"/>
      <c r="L2" s="771"/>
      <c r="M2" s="788"/>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row>
    <row r="3" spans="1:52" ht="14.55" customHeight="1" x14ac:dyDescent="0.25">
      <c r="A3" s="769">
        <v>2.5</v>
      </c>
      <c r="B3" s="665"/>
      <c r="C3" s="771"/>
      <c r="D3" s="771"/>
      <c r="E3" s="771"/>
      <c r="F3" s="771"/>
      <c r="G3" s="771"/>
      <c r="H3" s="771"/>
      <c r="I3" s="771"/>
      <c r="J3" s="771"/>
      <c r="K3" s="771"/>
      <c r="L3" s="771"/>
      <c r="M3" s="788"/>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row>
    <row r="4" spans="1:52" ht="14.55" customHeight="1" x14ac:dyDescent="0.25">
      <c r="A4" s="770"/>
      <c r="B4" s="992" t="s">
        <v>1219</v>
      </c>
      <c r="C4" s="771"/>
      <c r="D4" s="771"/>
      <c r="E4" s="771"/>
      <c r="F4" s="771"/>
      <c r="G4" s="771"/>
      <c r="H4" s="771"/>
      <c r="I4" s="771"/>
      <c r="J4" s="771"/>
      <c r="K4" s="771"/>
      <c r="L4" s="771"/>
      <c r="M4" s="788"/>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row>
    <row r="5" spans="1:52" ht="14.55" customHeight="1" thickBot="1" x14ac:dyDescent="0.3">
      <c r="A5" s="770"/>
      <c r="B5" s="771"/>
      <c r="C5" s="771"/>
      <c r="D5" s="771"/>
      <c r="E5" s="771"/>
      <c r="F5" s="771"/>
      <c r="G5" s="771"/>
      <c r="H5" s="771"/>
      <c r="I5" s="771"/>
      <c r="J5" s="771"/>
      <c r="K5" s="771"/>
      <c r="L5" s="771"/>
      <c r="M5" s="788"/>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AW5" s="766"/>
      <c r="AX5" s="766"/>
      <c r="AY5" s="766"/>
      <c r="AZ5" s="766"/>
    </row>
    <row r="6" spans="1:52" ht="14.55" customHeight="1" x14ac:dyDescent="0.25">
      <c r="A6" s="770"/>
      <c r="B6" s="923" t="s">
        <v>117</v>
      </c>
      <c r="C6" s="922" t="s">
        <v>1203</v>
      </c>
      <c r="D6" s="921"/>
      <c r="E6" s="921"/>
      <c r="F6" s="920"/>
      <c r="G6" s="771"/>
      <c r="H6" s="923" t="s">
        <v>117</v>
      </c>
      <c r="I6" s="922" t="s">
        <v>766</v>
      </c>
      <c r="J6" s="921"/>
      <c r="K6" s="921"/>
      <c r="L6" s="920"/>
      <c r="M6" s="788"/>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55" customHeight="1" thickBot="1" x14ac:dyDescent="0.3">
      <c r="A7" s="770"/>
      <c r="B7" s="917" t="s">
        <v>94</v>
      </c>
      <c r="C7" s="916">
        <v>12</v>
      </c>
      <c r="D7" s="915">
        <v>24</v>
      </c>
      <c r="E7" s="915">
        <v>36</v>
      </c>
      <c r="F7" s="914">
        <v>48</v>
      </c>
      <c r="G7" s="771"/>
      <c r="H7" s="917" t="s">
        <v>94</v>
      </c>
      <c r="I7" s="916">
        <v>12</v>
      </c>
      <c r="J7" s="915">
        <v>24</v>
      </c>
      <c r="K7" s="915">
        <v>36</v>
      </c>
      <c r="L7" s="914">
        <v>48</v>
      </c>
      <c r="M7" s="788"/>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55" customHeight="1" x14ac:dyDescent="0.25">
      <c r="A8" s="770"/>
      <c r="B8" s="912">
        <v>2014</v>
      </c>
      <c r="C8" s="932">
        <v>3002</v>
      </c>
      <c r="D8" s="931">
        <v>3585</v>
      </c>
      <c r="E8" s="931">
        <v>3857</v>
      </c>
      <c r="F8" s="930">
        <v>4020</v>
      </c>
      <c r="G8" s="991"/>
      <c r="H8" s="912">
        <v>2014</v>
      </c>
      <c r="I8" s="932">
        <v>940</v>
      </c>
      <c r="J8" s="931">
        <v>975</v>
      </c>
      <c r="K8" s="931">
        <v>980</v>
      </c>
      <c r="L8" s="930">
        <v>980</v>
      </c>
      <c r="M8" s="788"/>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55" customHeight="1" x14ac:dyDescent="0.25">
      <c r="A9" s="770"/>
      <c r="B9" s="908">
        <v>2015</v>
      </c>
      <c r="C9" s="929">
        <v>3440</v>
      </c>
      <c r="D9" s="928">
        <v>4107</v>
      </c>
      <c r="E9" s="928">
        <v>4522</v>
      </c>
      <c r="F9" s="927"/>
      <c r="G9" s="991"/>
      <c r="H9" s="908">
        <v>2015</v>
      </c>
      <c r="I9" s="929">
        <v>1060</v>
      </c>
      <c r="J9" s="928">
        <v>1103</v>
      </c>
      <c r="K9" s="928">
        <v>1106</v>
      </c>
      <c r="L9" s="927"/>
      <c r="M9" s="788"/>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55" customHeight="1" x14ac:dyDescent="0.25">
      <c r="A10" s="770"/>
      <c r="B10" s="908">
        <v>2016</v>
      </c>
      <c r="C10" s="929">
        <v>3427</v>
      </c>
      <c r="D10" s="928">
        <v>4109</v>
      </c>
      <c r="E10" s="928"/>
      <c r="F10" s="927"/>
      <c r="G10" s="991"/>
      <c r="H10" s="908">
        <v>2016</v>
      </c>
      <c r="I10" s="929">
        <v>1053</v>
      </c>
      <c r="J10" s="928">
        <v>1095</v>
      </c>
      <c r="K10" s="928"/>
      <c r="L10" s="927"/>
      <c r="M10" s="788"/>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55" customHeight="1" thickBot="1" x14ac:dyDescent="0.3">
      <c r="A11" s="770"/>
      <c r="B11" s="904">
        <v>2017</v>
      </c>
      <c r="C11" s="926" t="s">
        <v>1218</v>
      </c>
      <c r="D11" s="925"/>
      <c r="E11" s="925"/>
      <c r="F11" s="924"/>
      <c r="G11" s="991"/>
      <c r="H11" s="904">
        <v>2017</v>
      </c>
      <c r="I11" s="926">
        <v>1085</v>
      </c>
      <c r="J11" s="925"/>
      <c r="K11" s="925"/>
      <c r="L11" s="924"/>
      <c r="M11" s="788"/>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55" customHeight="1" x14ac:dyDescent="0.25">
      <c r="A12" s="770"/>
      <c r="B12" s="771"/>
      <c r="C12" s="771"/>
      <c r="D12" s="771"/>
      <c r="E12" s="771"/>
      <c r="F12" s="771"/>
      <c r="G12" s="771"/>
      <c r="H12" s="771"/>
      <c r="I12" s="991"/>
      <c r="J12" s="991"/>
      <c r="K12" s="991"/>
      <c r="L12" s="991"/>
      <c r="M12" s="788"/>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55" customHeight="1" thickBot="1" x14ac:dyDescent="0.3">
      <c r="A13" s="770"/>
      <c r="B13" s="771"/>
      <c r="C13" s="771"/>
      <c r="D13" s="771"/>
      <c r="E13" s="771"/>
      <c r="F13" s="771"/>
      <c r="G13" s="771"/>
      <c r="H13" s="771"/>
      <c r="I13" s="771"/>
      <c r="J13" s="771"/>
      <c r="K13" s="771"/>
      <c r="L13" s="771"/>
      <c r="M13" s="788"/>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55" customHeight="1" x14ac:dyDescent="0.25">
      <c r="A14" s="770"/>
      <c r="B14" s="923" t="s">
        <v>117</v>
      </c>
      <c r="C14" s="990" t="s">
        <v>1217</v>
      </c>
      <c r="D14" s="921"/>
      <c r="E14" s="920"/>
      <c r="F14" s="771"/>
      <c r="G14" s="771"/>
      <c r="H14" s="923" t="s">
        <v>117</v>
      </c>
      <c r="I14" s="989" t="s">
        <v>1216</v>
      </c>
      <c r="J14" s="921"/>
      <c r="K14" s="920"/>
      <c r="L14" s="981"/>
      <c r="M14" s="788"/>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55" customHeight="1" thickBot="1" x14ac:dyDescent="0.3">
      <c r="A15" s="770"/>
      <c r="B15" s="917" t="s">
        <v>94</v>
      </c>
      <c r="C15" s="653" t="s">
        <v>149</v>
      </c>
      <c r="D15" s="654" t="s">
        <v>150</v>
      </c>
      <c r="E15" s="655" t="s">
        <v>151</v>
      </c>
      <c r="F15" s="798"/>
      <c r="G15" s="798"/>
      <c r="H15" s="917" t="s">
        <v>94</v>
      </c>
      <c r="I15" s="653" t="s">
        <v>149</v>
      </c>
      <c r="J15" s="654" t="s">
        <v>150</v>
      </c>
      <c r="K15" s="655" t="s">
        <v>151</v>
      </c>
      <c r="L15" s="988"/>
      <c r="M15" s="788"/>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55" customHeight="1" x14ac:dyDescent="0.25">
      <c r="A16" s="770"/>
      <c r="B16" s="912">
        <v>2014</v>
      </c>
      <c r="C16" s="987">
        <v>1.1942038640906063</v>
      </c>
      <c r="D16" s="986">
        <v>1.0758716875871688</v>
      </c>
      <c r="E16" s="985">
        <v>1.0422608244749805</v>
      </c>
      <c r="F16" s="771"/>
      <c r="G16" s="771"/>
      <c r="H16" s="912">
        <v>2014</v>
      </c>
      <c r="I16" s="987">
        <v>1.0372340425531914</v>
      </c>
      <c r="J16" s="986">
        <v>1.0051282051282051</v>
      </c>
      <c r="K16" s="985">
        <v>1</v>
      </c>
      <c r="L16" s="981"/>
      <c r="M16" s="788"/>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55" customHeight="1" x14ac:dyDescent="0.25">
      <c r="A17" s="770"/>
      <c r="B17" s="908">
        <v>2015</v>
      </c>
      <c r="C17" s="984">
        <v>1.1938953488372093</v>
      </c>
      <c r="D17" s="983">
        <v>1.1010469929388849</v>
      </c>
      <c r="E17" s="964"/>
      <c r="F17" s="771"/>
      <c r="G17" s="771"/>
      <c r="H17" s="908">
        <v>2015</v>
      </c>
      <c r="I17" s="984">
        <v>1.040566037735849</v>
      </c>
      <c r="J17" s="983">
        <v>1.0027198549410699</v>
      </c>
      <c r="K17" s="964"/>
      <c r="L17" s="981"/>
      <c r="M17" s="788"/>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55" customHeight="1" thickBot="1" x14ac:dyDescent="0.3">
      <c r="A18" s="770"/>
      <c r="B18" s="904">
        <v>2016</v>
      </c>
      <c r="C18" s="982">
        <v>1.1990078786110301</v>
      </c>
      <c r="D18" s="915"/>
      <c r="E18" s="914"/>
      <c r="F18" s="771"/>
      <c r="G18" s="771"/>
      <c r="H18" s="904">
        <v>2016</v>
      </c>
      <c r="I18" s="982">
        <v>1.0398860398860399</v>
      </c>
      <c r="J18" s="915"/>
      <c r="K18" s="914"/>
      <c r="L18" s="981"/>
      <c r="M18" s="788"/>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55" customHeight="1" thickBot="1" x14ac:dyDescent="0.3">
      <c r="A19" s="770"/>
      <c r="B19" s="771"/>
      <c r="C19" s="771"/>
      <c r="D19" s="771"/>
      <c r="E19" s="771"/>
      <c r="F19" s="771"/>
      <c r="G19" s="771"/>
      <c r="H19" s="771"/>
      <c r="I19" s="771"/>
      <c r="J19" s="771"/>
      <c r="K19" s="771"/>
      <c r="L19" s="771"/>
      <c r="M19" s="788"/>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55" customHeight="1" x14ac:dyDescent="0.25">
      <c r="A20" s="770"/>
      <c r="B20" s="980">
        <v>0.05</v>
      </c>
      <c r="C20" s="979" t="s">
        <v>1215</v>
      </c>
      <c r="D20" s="978"/>
      <c r="E20" s="978"/>
      <c r="F20" s="978"/>
      <c r="G20" s="978"/>
      <c r="H20" s="978"/>
      <c r="I20" s="978"/>
      <c r="J20" s="977"/>
      <c r="K20" s="771"/>
      <c r="L20" s="771"/>
      <c r="M20" s="788"/>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55" customHeight="1" thickBot="1" x14ac:dyDescent="0.3">
      <c r="A21" s="770"/>
      <c r="B21" s="976">
        <v>0.3</v>
      </c>
      <c r="C21" s="975" t="s">
        <v>1214</v>
      </c>
      <c r="D21" s="792"/>
      <c r="E21" s="792"/>
      <c r="F21" s="792"/>
      <c r="G21" s="792"/>
      <c r="H21" s="792"/>
      <c r="I21" s="792"/>
      <c r="J21" s="793"/>
      <c r="K21" s="771"/>
      <c r="L21" s="771"/>
      <c r="M21" s="788"/>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55" customHeight="1" x14ac:dyDescent="0.25">
      <c r="A22" s="770"/>
      <c r="B22" s="771"/>
      <c r="C22" s="771"/>
      <c r="D22" s="771"/>
      <c r="E22" s="771"/>
      <c r="F22" s="771"/>
      <c r="G22" s="771"/>
      <c r="H22" s="771"/>
      <c r="I22" s="771"/>
      <c r="J22" s="771"/>
      <c r="K22" s="771"/>
      <c r="L22" s="771"/>
      <c r="M22" s="788"/>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55" customHeight="1" x14ac:dyDescent="0.25">
      <c r="A23" s="770"/>
      <c r="B23" s="974" t="s">
        <v>1213</v>
      </c>
      <c r="C23" s="771"/>
      <c r="D23" s="771"/>
      <c r="E23" s="771"/>
      <c r="F23" s="771"/>
      <c r="G23" s="771"/>
      <c r="H23" s="771"/>
      <c r="I23" s="771"/>
      <c r="J23" s="771"/>
      <c r="K23" s="771"/>
      <c r="L23" s="771"/>
      <c r="M23" s="788"/>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55" customHeight="1" x14ac:dyDescent="0.25">
      <c r="A24" s="770"/>
      <c r="B24" s="973" t="s">
        <v>1212</v>
      </c>
      <c r="C24" s="771"/>
      <c r="D24" s="771"/>
      <c r="E24" s="771"/>
      <c r="F24" s="771"/>
      <c r="G24" s="771"/>
      <c r="H24" s="771"/>
      <c r="I24" s="771"/>
      <c r="J24" s="771"/>
      <c r="K24" s="771"/>
      <c r="L24" s="771"/>
      <c r="M24" s="788"/>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55" customHeight="1" x14ac:dyDescent="0.25">
      <c r="A25" s="770"/>
      <c r="B25" s="771"/>
      <c r="C25" s="771"/>
      <c r="D25" s="771"/>
      <c r="E25" s="771"/>
      <c r="F25" s="771"/>
      <c r="G25" s="771"/>
      <c r="H25" s="771"/>
      <c r="I25" s="771"/>
      <c r="J25" s="771"/>
      <c r="K25" s="771"/>
      <c r="L25" s="771"/>
      <c r="M25" s="788"/>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55" customHeight="1" x14ac:dyDescent="0.25">
      <c r="A26" s="770"/>
      <c r="B26" s="771" t="s">
        <v>1211</v>
      </c>
      <c r="C26" s="771"/>
      <c r="D26" s="771"/>
      <c r="E26" s="771"/>
      <c r="F26" s="771"/>
      <c r="G26" s="771"/>
      <c r="H26" s="771"/>
      <c r="I26" s="771"/>
      <c r="J26" s="771"/>
      <c r="K26" s="771"/>
      <c r="L26" s="771"/>
      <c r="M26" s="788"/>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55" customHeight="1" thickBot="1" x14ac:dyDescent="0.3">
      <c r="A27" s="972"/>
      <c r="B27" s="792"/>
      <c r="C27" s="792"/>
      <c r="D27" s="792"/>
      <c r="E27" s="792"/>
      <c r="F27" s="792"/>
      <c r="G27" s="792"/>
      <c r="H27" s="792"/>
      <c r="I27" s="792"/>
      <c r="J27" s="792"/>
      <c r="K27" s="792"/>
      <c r="L27" s="792"/>
      <c r="M27" s="793"/>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55" customHeight="1" x14ac:dyDescent="0.25">
      <c r="A28" s="766"/>
      <c r="B28" s="766"/>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55" customHeight="1" thickBot="1" x14ac:dyDescent="0.3">
      <c r="A29" s="766" t="s">
        <v>1007</v>
      </c>
      <c r="B29" s="766"/>
      <c r="C29" s="76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55" customHeight="1" x14ac:dyDescent="0.25">
      <c r="A30" s="766"/>
      <c r="B30" s="923" t="s">
        <v>117</v>
      </c>
      <c r="C30" s="989" t="s">
        <v>1216</v>
      </c>
      <c r="D30" s="921"/>
      <c r="E30" s="920"/>
      <c r="F30" s="766" t="s">
        <v>884</v>
      </c>
      <c r="G30" s="766" t="s">
        <v>154</v>
      </c>
      <c r="H30" s="766" t="s">
        <v>1229</v>
      </c>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55" customHeight="1" thickBot="1" x14ac:dyDescent="0.3">
      <c r="A31" s="766"/>
      <c r="B31" s="917" t="s">
        <v>94</v>
      </c>
      <c r="C31" s="653" t="s">
        <v>149</v>
      </c>
      <c r="D31" s="654" t="s">
        <v>150</v>
      </c>
      <c r="E31" s="655" t="s">
        <v>151</v>
      </c>
      <c r="F31" s="997">
        <f>L8</f>
        <v>980</v>
      </c>
      <c r="G31" s="766">
        <v>1</v>
      </c>
      <c r="H31" s="480">
        <f>G31*F31</f>
        <v>980</v>
      </c>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55" customHeight="1" x14ac:dyDescent="0.25">
      <c r="A32" s="766"/>
      <c r="B32" s="912">
        <v>2014</v>
      </c>
      <c r="C32" s="987">
        <v>1.0372340425531914</v>
      </c>
      <c r="D32" s="986">
        <v>1.0051282051282051</v>
      </c>
      <c r="E32" s="985">
        <v>1</v>
      </c>
      <c r="F32" s="997">
        <f>K9</f>
        <v>1106</v>
      </c>
      <c r="G32" s="971">
        <f>E37</f>
        <v>1</v>
      </c>
      <c r="H32" s="480">
        <f>G32*F32</f>
        <v>1106</v>
      </c>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55" customHeight="1" x14ac:dyDescent="0.25">
      <c r="A33" s="766"/>
      <c r="B33" s="908">
        <v>2015</v>
      </c>
      <c r="C33" s="984">
        <v>1.040566037735849</v>
      </c>
      <c r="D33" s="983">
        <v>1.0027198549410699</v>
      </c>
      <c r="E33" s="964"/>
      <c r="F33" s="997">
        <f>J10</f>
        <v>1095</v>
      </c>
      <c r="G33" s="971">
        <f>D37</f>
        <v>1.0039240300346375</v>
      </c>
      <c r="H33" s="480">
        <f>G33*F33</f>
        <v>1099.2968128879281</v>
      </c>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55" customHeight="1" thickBot="1" x14ac:dyDescent="0.3">
      <c r="A34" s="766"/>
      <c r="B34" s="904">
        <v>2016</v>
      </c>
      <c r="C34" s="982">
        <v>1.0398860398860399</v>
      </c>
      <c r="D34" s="915"/>
      <c r="E34" s="914"/>
      <c r="F34" s="997">
        <f>I11</f>
        <v>1085</v>
      </c>
      <c r="G34" s="971">
        <f>C37</f>
        <v>1.0433066713830732</v>
      </c>
      <c r="H34" s="480">
        <f>G34*F34</f>
        <v>1131.9877384506344</v>
      </c>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55" customHeight="1" x14ac:dyDescent="0.25">
      <c r="A35" s="766"/>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55" customHeight="1" x14ac:dyDescent="0.25">
      <c r="A36" s="766"/>
      <c r="B36" s="766" t="s">
        <v>1222</v>
      </c>
      <c r="C36" s="971">
        <f>AVERAGE(C32:C34)</f>
        <v>1.0392287067250268</v>
      </c>
      <c r="D36" s="971">
        <f>AVERAGE(D32:D34)</f>
        <v>1.0039240300346375</v>
      </c>
      <c r="E36" s="971">
        <f>AVERAGE(E32:E34)</f>
        <v>1</v>
      </c>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55" customHeight="1" x14ac:dyDescent="0.25">
      <c r="A37" s="766"/>
      <c r="B37" s="766" t="s">
        <v>1220</v>
      </c>
      <c r="C37" s="971">
        <f>D37*C36</f>
        <v>1.0433066713830732</v>
      </c>
      <c r="D37" s="971">
        <f>E37*D36</f>
        <v>1.0039240300346375</v>
      </c>
      <c r="E37" s="971">
        <f>E36</f>
        <v>1</v>
      </c>
      <c r="F37" s="971"/>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55" customHeight="1" x14ac:dyDescent="0.25">
      <c r="A38" s="766"/>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55" customHeight="1" thickBot="1" x14ac:dyDescent="0.3">
      <c r="A39" s="766" t="s">
        <v>1228</v>
      </c>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55" customHeight="1" x14ac:dyDescent="0.25">
      <c r="A40" s="766"/>
      <c r="B40" s="923" t="s">
        <v>117</v>
      </c>
      <c r="C40" s="922" t="s">
        <v>1227</v>
      </c>
      <c r="D40" s="921"/>
      <c r="E40" s="921"/>
      <c r="F40" s="920"/>
      <c r="G40" s="766"/>
      <c r="H40" s="766"/>
      <c r="I40" s="766" t="s">
        <v>1226</v>
      </c>
      <c r="J40" s="766" t="s">
        <v>304</v>
      </c>
      <c r="K40" s="766" t="s">
        <v>1199</v>
      </c>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55" customHeight="1" thickBot="1" x14ac:dyDescent="0.3">
      <c r="A41" s="766"/>
      <c r="B41" s="917" t="s">
        <v>94</v>
      </c>
      <c r="C41" s="916">
        <v>12</v>
      </c>
      <c r="D41" s="915">
        <v>24</v>
      </c>
      <c r="E41" s="915">
        <v>36</v>
      </c>
      <c r="F41" s="914">
        <v>48</v>
      </c>
      <c r="G41" s="766"/>
      <c r="H41" s="997">
        <f>F42</f>
        <v>4102.0408163265311</v>
      </c>
      <c r="I41" s="995">
        <v>1</v>
      </c>
      <c r="J41" s="766">
        <f>J43^3</f>
        <v>1.1576250000000001</v>
      </c>
      <c r="K41" s="994">
        <f>J41*I41*H41</f>
        <v>4748.6250000000009</v>
      </c>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55" customHeight="1" x14ac:dyDescent="0.25">
      <c r="A42" s="766"/>
      <c r="B42" s="912">
        <v>2014</v>
      </c>
      <c r="C42" s="932">
        <f>C8*1000/I8</f>
        <v>3193.6170212765956</v>
      </c>
      <c r="D42" s="931">
        <f>D8*1000/J8</f>
        <v>3676.9230769230771</v>
      </c>
      <c r="E42" s="931">
        <f>E8*1000/K8</f>
        <v>3935.7142857142858</v>
      </c>
      <c r="F42" s="931">
        <f>F8*1000/L8</f>
        <v>4102.0408163265311</v>
      </c>
      <c r="G42" s="766"/>
      <c r="H42" s="997">
        <f>E43</f>
        <v>4088.6075949367087</v>
      </c>
      <c r="I42" s="995">
        <f>E55</f>
        <v>1.0422608244749807</v>
      </c>
      <c r="J42" s="766">
        <f>J43^2</f>
        <v>1.1025</v>
      </c>
      <c r="K42" s="994">
        <f>J42*I42*H42</f>
        <v>4698.188563945876</v>
      </c>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55" customHeight="1" x14ac:dyDescent="0.25">
      <c r="A43" s="766"/>
      <c r="B43" s="908">
        <v>2015</v>
      </c>
      <c r="C43" s="929">
        <f>C9*1000/I9</f>
        <v>3245.2830188679245</v>
      </c>
      <c r="D43" s="928">
        <f>D9*1000/J9</f>
        <v>3723.4814143245694</v>
      </c>
      <c r="E43" s="928">
        <f>E9*1000/K9</f>
        <v>4088.6075949367087</v>
      </c>
      <c r="F43" s="927"/>
      <c r="G43" s="766"/>
      <c r="H43" s="997">
        <f>D44</f>
        <v>3752.511415525114</v>
      </c>
      <c r="I43" s="995">
        <f>D55</f>
        <v>1.1300415810492417</v>
      </c>
      <c r="J43" s="996">
        <f>1+B20</f>
        <v>1.05</v>
      </c>
      <c r="K43" s="994">
        <f>J43*I43*H43</f>
        <v>4452.5186295505946</v>
      </c>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55" customHeight="1" x14ac:dyDescent="0.25">
      <c r="A44" s="766"/>
      <c r="B44" s="908">
        <v>2016</v>
      </c>
      <c r="C44" s="929">
        <f>C10*1000/I10</f>
        <v>3254.510921177588</v>
      </c>
      <c r="D44" s="928">
        <f>D10*1000/J10</f>
        <v>3752.511415525114</v>
      </c>
      <c r="E44" s="928"/>
      <c r="F44" s="927"/>
      <c r="G44" s="766"/>
      <c r="H44" s="766"/>
      <c r="I44" s="995">
        <f>C55</f>
        <v>1.3001901993501592</v>
      </c>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55" customHeight="1" thickBot="1" x14ac:dyDescent="0.3">
      <c r="A45" s="766"/>
      <c r="B45" s="904">
        <v>2017</v>
      </c>
      <c r="C45" s="926" t="s">
        <v>1218</v>
      </c>
      <c r="D45" s="925"/>
      <c r="E45" s="925"/>
      <c r="F45" s="924"/>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55" customHeight="1" x14ac:dyDescent="0.25">
      <c r="A46" s="766"/>
      <c r="B46" s="771"/>
      <c r="C46" s="771"/>
      <c r="D46" s="771"/>
      <c r="E46" s="771"/>
      <c r="F46" s="771"/>
      <c r="G46" s="766"/>
      <c r="H46" s="766"/>
      <c r="I46" s="766"/>
      <c r="J46" s="766" t="s">
        <v>1225</v>
      </c>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55" customHeight="1" thickBot="1" x14ac:dyDescent="0.3">
      <c r="A47" s="766"/>
      <c r="B47" s="771"/>
      <c r="C47" s="771"/>
      <c r="D47" s="771"/>
      <c r="E47" s="771"/>
      <c r="F47" s="771"/>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55" customHeight="1" x14ac:dyDescent="0.25">
      <c r="A48" s="766"/>
      <c r="B48" s="923" t="s">
        <v>117</v>
      </c>
      <c r="C48" s="990" t="s">
        <v>1224</v>
      </c>
      <c r="D48" s="921"/>
      <c r="E48" s="920"/>
      <c r="F48" s="771"/>
      <c r="G48" s="766"/>
      <c r="H48" s="766"/>
      <c r="I48" s="766"/>
      <c r="J48" s="766"/>
      <c r="K48" s="994">
        <f>AVERAGE(K42:K43)</f>
        <v>4575.3535967482348</v>
      </c>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55" customHeight="1" thickBot="1" x14ac:dyDescent="0.3">
      <c r="A49" s="766"/>
      <c r="B49" s="917" t="s">
        <v>94</v>
      </c>
      <c r="C49" s="653" t="s">
        <v>149</v>
      </c>
      <c r="D49" s="654" t="s">
        <v>150</v>
      </c>
      <c r="E49" s="655" t="s">
        <v>151</v>
      </c>
      <c r="F49" s="798"/>
      <c r="G49" s="766"/>
      <c r="H49" s="766"/>
      <c r="I49" s="766"/>
      <c r="J49" s="766" t="s">
        <v>1223</v>
      </c>
      <c r="K49" s="766">
        <f>K48*(1-B21)</f>
        <v>3202.7475177237643</v>
      </c>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55" customHeight="1" x14ac:dyDescent="0.25">
      <c r="A50" s="766"/>
      <c r="B50" s="912">
        <v>2014</v>
      </c>
      <c r="C50" s="987">
        <f>D42/C42</f>
        <v>1.1513350074309436</v>
      </c>
      <c r="D50" s="986">
        <f>E42/D42</f>
        <v>1.0703825463239689</v>
      </c>
      <c r="E50" s="985">
        <f>F42/E42</f>
        <v>1.0422608244749807</v>
      </c>
      <c r="F50" s="771"/>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55" customHeight="1" x14ac:dyDescent="0.25">
      <c r="A51" s="766"/>
      <c r="B51" s="908">
        <v>2015</v>
      </c>
      <c r="C51" s="984">
        <f>D43/C43</f>
        <v>1.1473518311581523</v>
      </c>
      <c r="D51" s="983">
        <f>E43/D43</f>
        <v>1.0980604278585804</v>
      </c>
      <c r="E51" s="964"/>
      <c r="F51" s="771"/>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55" customHeight="1" thickBot="1" x14ac:dyDescent="0.3">
      <c r="A52" s="766"/>
      <c r="B52" s="904">
        <v>2016</v>
      </c>
      <c r="C52" s="982">
        <f>D44/C44</f>
        <v>1.1530185353218398</v>
      </c>
      <c r="D52" s="915"/>
      <c r="E52" s="914"/>
      <c r="F52" s="771"/>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55" customHeight="1" x14ac:dyDescent="0.25">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55" customHeight="1" x14ac:dyDescent="0.25">
      <c r="A54" s="766"/>
      <c r="B54" s="766" t="s">
        <v>1222</v>
      </c>
      <c r="C54" s="971">
        <f>AVERAGE(C50:C52)</f>
        <v>1.1505684579703119</v>
      </c>
      <c r="D54" s="971">
        <f>AVERAGE(D50:D52)</f>
        <v>1.0842214870912747</v>
      </c>
      <c r="E54" s="971">
        <f>AVERAGE(E50:E52)</f>
        <v>1.0422608244749807</v>
      </c>
      <c r="F54" s="766"/>
      <c r="G54" s="766"/>
      <c r="H54" s="766"/>
      <c r="I54" s="766" t="s">
        <v>1221</v>
      </c>
      <c r="J54" s="305">
        <f>K49*H34</f>
        <v>3625470.9194165072</v>
      </c>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55" customHeight="1" x14ac:dyDescent="0.25">
      <c r="A55" s="766"/>
      <c r="B55" s="766" t="s">
        <v>1220</v>
      </c>
      <c r="C55" s="766">
        <f>D55*C54</f>
        <v>1.3001901993501592</v>
      </c>
      <c r="D55" s="766">
        <f>E55*D54</f>
        <v>1.1300415810492417</v>
      </c>
      <c r="E55" s="971">
        <f>E54</f>
        <v>1.0422608244749807</v>
      </c>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55" customHeight="1" x14ac:dyDescent="0.25">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55" customHeight="1" x14ac:dyDescent="0.25">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55" customHeight="1" x14ac:dyDescent="0.25">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55" customHeight="1" x14ac:dyDescent="0.25">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55" customHeight="1" x14ac:dyDescent="0.25">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55" customHeight="1" x14ac:dyDescent="0.25">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55" customHeight="1" x14ac:dyDescent="0.25">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55" customHeight="1" x14ac:dyDescent="0.25">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55" customHeight="1" x14ac:dyDescent="0.25">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55" customHeight="1" x14ac:dyDescent="0.25">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55" customHeight="1" x14ac:dyDescent="0.25">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55" customHeight="1" x14ac:dyDescent="0.25">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55" customHeight="1" x14ac:dyDescent="0.25">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55" customHeight="1" x14ac:dyDescent="0.25">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55" customHeight="1" x14ac:dyDescent="0.25">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55" customHeight="1" x14ac:dyDescent="0.25">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55" customHeight="1" x14ac:dyDescent="0.25">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55" customHeight="1" x14ac:dyDescent="0.25">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55" customHeight="1" x14ac:dyDescent="0.25">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55" customHeight="1" x14ac:dyDescent="0.25">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55" customHeight="1" x14ac:dyDescent="0.25">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55" customHeight="1" x14ac:dyDescent="0.25">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55" customHeight="1" x14ac:dyDescent="0.25">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55" customHeight="1" x14ac:dyDescent="0.25">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55" customHeight="1" x14ac:dyDescent="0.25">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55" customHeight="1" x14ac:dyDescent="0.25">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55" customHeight="1" x14ac:dyDescent="0.25">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55" customHeight="1" x14ac:dyDescent="0.25">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55" customHeight="1" x14ac:dyDescent="0.25">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55" customHeight="1" x14ac:dyDescent="0.25">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55" customHeight="1" x14ac:dyDescent="0.25">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55" customHeight="1" x14ac:dyDescent="0.25">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55" customHeight="1" x14ac:dyDescent="0.25">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55" customHeight="1" x14ac:dyDescent="0.25">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55" customHeight="1" x14ac:dyDescent="0.25">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55" customHeight="1" x14ac:dyDescent="0.25">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55" customHeight="1" x14ac:dyDescent="0.25">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55" customHeight="1" x14ac:dyDescent="0.25">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55" customHeight="1" x14ac:dyDescent="0.25">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55" customHeight="1" x14ac:dyDescent="0.25">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55" customHeight="1" x14ac:dyDescent="0.25">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55" customHeight="1" x14ac:dyDescent="0.25">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55" customHeight="1" x14ac:dyDescent="0.25">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55" customHeight="1" x14ac:dyDescent="0.25">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55" customHeight="1" x14ac:dyDescent="0.25">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55" customHeight="1" x14ac:dyDescent="0.25">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55" customHeight="1" x14ac:dyDescent="0.25">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55" customHeight="1" x14ac:dyDescent="0.25">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55" customHeight="1" x14ac:dyDescent="0.25">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55" customHeight="1" x14ac:dyDescent="0.25">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55" customHeight="1" x14ac:dyDescent="0.25">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55" customHeight="1" x14ac:dyDescent="0.25">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55" customHeight="1" x14ac:dyDescent="0.25">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55" customHeight="1" x14ac:dyDescent="0.25">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55" customHeight="1" x14ac:dyDescent="0.25">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55" customHeight="1" x14ac:dyDescent="0.25">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55" customHeight="1" x14ac:dyDescent="0.25">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55" customHeight="1" x14ac:dyDescent="0.25">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55" customHeight="1" x14ac:dyDescent="0.25">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55" customHeight="1" x14ac:dyDescent="0.25">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55" customHeight="1" x14ac:dyDescent="0.25">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55" customHeight="1" x14ac:dyDescent="0.25">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55" customHeight="1" x14ac:dyDescent="0.25">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55" customHeight="1" x14ac:dyDescent="0.25">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55" customHeight="1" x14ac:dyDescent="0.25">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55" customHeight="1" x14ac:dyDescent="0.25">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55" customHeight="1" x14ac:dyDescent="0.2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55" customHeight="1" x14ac:dyDescent="0.2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55" customHeight="1" x14ac:dyDescent="0.2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55" customHeight="1" x14ac:dyDescent="0.2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55" customHeight="1" x14ac:dyDescent="0.2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55" customHeight="1" x14ac:dyDescent="0.2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55" customHeight="1" x14ac:dyDescent="0.2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55" customHeight="1" x14ac:dyDescent="0.2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55" customHeight="1" x14ac:dyDescent="0.2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55" customHeight="1" x14ac:dyDescent="0.2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55" customHeight="1" x14ac:dyDescent="0.2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55" customHeight="1" x14ac:dyDescent="0.2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55" customHeight="1" x14ac:dyDescent="0.2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55" customHeight="1" x14ac:dyDescent="0.2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55" customHeight="1" x14ac:dyDescent="0.2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55" customHeight="1" x14ac:dyDescent="0.2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55" customHeight="1" x14ac:dyDescent="0.2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55" customHeight="1" x14ac:dyDescent="0.2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55" customHeight="1" x14ac:dyDescent="0.2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55" customHeight="1" x14ac:dyDescent="0.2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55" customHeight="1" x14ac:dyDescent="0.2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55" customHeight="1" x14ac:dyDescent="0.2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55" customHeight="1" x14ac:dyDescent="0.2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55" customHeight="1" x14ac:dyDescent="0.2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55" customHeight="1" x14ac:dyDescent="0.2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55" customHeight="1" x14ac:dyDescent="0.2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55" customHeight="1" x14ac:dyDescent="0.2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55" customHeight="1" x14ac:dyDescent="0.2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55" customHeight="1" x14ac:dyDescent="0.2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55" customHeight="1" x14ac:dyDescent="0.2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55" customHeight="1" x14ac:dyDescent="0.2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55" customHeight="1" x14ac:dyDescent="0.2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55" customHeight="1" x14ac:dyDescent="0.2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55" customHeight="1" x14ac:dyDescent="0.2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55" customHeight="1" x14ac:dyDescent="0.2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55" customHeight="1" x14ac:dyDescent="0.2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55" customHeight="1" x14ac:dyDescent="0.2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55" customHeight="1" x14ac:dyDescent="0.2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55" customHeight="1" x14ac:dyDescent="0.2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55" customHeight="1" x14ac:dyDescent="0.2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55" customHeight="1" x14ac:dyDescent="0.2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55" customHeight="1" x14ac:dyDescent="0.2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55" customHeight="1" x14ac:dyDescent="0.2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55" customHeight="1" x14ac:dyDescent="0.2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55" customHeight="1" x14ac:dyDescent="0.2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55" customHeight="1" x14ac:dyDescent="0.2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55" customHeight="1" x14ac:dyDescent="0.2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55" customHeight="1" x14ac:dyDescent="0.2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55" customHeight="1" x14ac:dyDescent="0.2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55" customHeight="1" x14ac:dyDescent="0.2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55" customHeight="1" x14ac:dyDescent="0.2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55" customHeight="1" x14ac:dyDescent="0.2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55" customHeight="1" x14ac:dyDescent="0.2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55" customHeight="1" x14ac:dyDescent="0.2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55" customHeight="1" x14ac:dyDescent="0.2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55" customHeight="1" x14ac:dyDescent="0.2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55" customHeight="1" x14ac:dyDescent="0.2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55" customHeight="1" x14ac:dyDescent="0.2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55" customHeight="1" x14ac:dyDescent="0.2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55" customHeight="1" x14ac:dyDescent="0.2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55" customHeight="1" x14ac:dyDescent="0.2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55" customHeight="1" x14ac:dyDescent="0.2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55" customHeight="1" x14ac:dyDescent="0.2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55" customHeight="1" x14ac:dyDescent="0.2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55" customHeight="1" x14ac:dyDescent="0.2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55" customHeight="1" x14ac:dyDescent="0.2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55" customHeight="1" x14ac:dyDescent="0.2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55" customHeight="1" x14ac:dyDescent="0.2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55" customHeight="1" x14ac:dyDescent="0.2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55" customHeight="1" x14ac:dyDescent="0.2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55" customHeight="1" x14ac:dyDescent="0.2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55" customHeight="1" x14ac:dyDescent="0.2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55" customHeight="1" x14ac:dyDescent="0.2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55" customHeight="1" x14ac:dyDescent="0.2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83" priority="1" operator="equal">
      <formula>"Review Later"</formula>
    </cfRule>
    <cfRule type="cellIs" dxfId="82" priority="2" operator="equal">
      <formula>"Finished"</formula>
    </cfRule>
    <cfRule type="cellIs" dxfId="81" priority="3" operator="equal">
      <formula>"Incomplete"</formula>
    </cfRule>
  </conditionalFormatting>
  <pageMargins left="0.75" right="0.75" top="1" bottom="1" header="0.5" footer="0.5"/>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C205"/>
  <sheetViews>
    <sheetView zoomScaleNormal="100" workbookViewId="0"/>
  </sheetViews>
  <sheetFormatPr defaultColWidth="0" defaultRowHeight="0" customHeight="1" zeroHeight="1" x14ac:dyDescent="0.25"/>
  <cols>
    <col min="1" max="1" width="11.6640625" style="1" customWidth="1"/>
    <col min="2" max="2" width="14.44140625" style="1" customWidth="1"/>
    <col min="3" max="52" width="10.6640625" style="1" customWidth="1"/>
    <col min="53" max="55" width="0" style="1" hidden="1" customWidth="1"/>
    <col min="56" max="16384" width="10.6640625" style="1" hidden="1"/>
  </cols>
  <sheetData>
    <row r="1" spans="1:52" ht="14.85" customHeight="1" thickBot="1" x14ac:dyDescent="0.3">
      <c r="A1" s="3">
        <v>19</v>
      </c>
      <c r="B1" s="4"/>
      <c r="C1" s="5"/>
      <c r="D1" s="5"/>
      <c r="E1" s="5"/>
      <c r="F1" s="5"/>
      <c r="G1" s="5"/>
      <c r="H1" s="5"/>
      <c r="I1" s="6"/>
      <c r="J1" s="7"/>
      <c r="K1" s="7"/>
      <c r="L1" s="7"/>
      <c r="M1" s="7"/>
      <c r="N1" s="7"/>
      <c r="O1" s="7"/>
      <c r="P1" s="7"/>
      <c r="Q1" s="7"/>
      <c r="R1" s="7"/>
      <c r="S1" s="7"/>
      <c r="T1" s="7"/>
      <c r="U1" s="7"/>
      <c r="V1" s="7"/>
      <c r="W1" s="7"/>
    </row>
    <row r="2" spans="1:52" ht="14.85" customHeight="1" x14ac:dyDescent="0.25">
      <c r="A2" s="8" t="s">
        <v>4</v>
      </c>
      <c r="B2" s="9"/>
      <c r="C2" s="9"/>
      <c r="D2" s="9"/>
      <c r="E2" s="9"/>
      <c r="F2" s="9"/>
      <c r="G2" s="9"/>
      <c r="H2" s="9"/>
      <c r="I2" s="10"/>
      <c r="J2" s="7"/>
      <c r="K2" s="7"/>
      <c r="L2" s="7"/>
      <c r="M2" s="7"/>
      <c r="N2" s="7"/>
      <c r="O2" s="7"/>
      <c r="P2" s="7"/>
      <c r="Q2" s="7"/>
      <c r="R2" s="7"/>
      <c r="S2" s="7"/>
      <c r="T2" s="7"/>
      <c r="U2" s="7"/>
      <c r="V2" s="7"/>
      <c r="W2" s="7"/>
    </row>
    <row r="3" spans="1:52" ht="14.85" customHeight="1" x14ac:dyDescent="0.25">
      <c r="A3" s="11">
        <v>2</v>
      </c>
      <c r="B3" s="9"/>
      <c r="C3" s="9"/>
      <c r="D3" s="9"/>
      <c r="E3" s="9"/>
      <c r="F3" s="9"/>
      <c r="G3" s="9"/>
      <c r="H3" s="9"/>
      <c r="I3" s="10"/>
      <c r="J3" s="7"/>
      <c r="K3" s="7"/>
      <c r="L3" s="7"/>
      <c r="M3" s="7"/>
      <c r="N3" s="7"/>
      <c r="O3" s="7"/>
      <c r="P3" s="7"/>
      <c r="Q3" s="7"/>
      <c r="R3" s="7"/>
      <c r="S3" s="7"/>
      <c r="T3" s="7"/>
      <c r="U3" s="7"/>
      <c r="V3" s="7"/>
      <c r="W3" s="7"/>
    </row>
    <row r="4" spans="1:52" ht="14.85" customHeight="1" x14ac:dyDescent="0.25">
      <c r="A4" s="11"/>
      <c r="B4" s="15" t="s">
        <v>705</v>
      </c>
      <c r="C4" s="9"/>
      <c r="D4" s="9"/>
      <c r="E4" s="9"/>
      <c r="F4" s="9"/>
      <c r="G4" s="13"/>
      <c r="H4" s="13"/>
      <c r="I4" s="14"/>
      <c r="J4" s="7"/>
      <c r="K4" s="7"/>
      <c r="L4" s="7"/>
      <c r="M4" s="7"/>
      <c r="N4" s="7"/>
      <c r="O4" s="7"/>
      <c r="P4" s="7"/>
      <c r="Q4" s="7"/>
      <c r="R4" s="7"/>
      <c r="S4" s="7"/>
      <c r="T4" s="7"/>
      <c r="U4" s="7"/>
      <c r="V4" s="7"/>
      <c r="W4" s="7"/>
    </row>
    <row r="5" spans="1:52" ht="14.85" customHeight="1" x14ac:dyDescent="0.25">
      <c r="A5" s="11"/>
      <c r="B5" s="15" t="s">
        <v>706</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x14ac:dyDescent="0.25">
      <c r="A11" s="11"/>
      <c r="B11" s="9" t="s">
        <v>708</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21" customFormat="1" ht="14.85" customHeight="1" x14ac:dyDescent="0.25">
      <c r="A12" s="11"/>
      <c r="B12" s="9"/>
      <c r="C12" s="9"/>
      <c r="D12" s="9"/>
      <c r="E12" s="9"/>
      <c r="F12" s="9"/>
      <c r="G12" s="9"/>
      <c r="H12" s="9"/>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21" customFormat="1" ht="14.85" customHeight="1" x14ac:dyDescent="0.25">
      <c r="A13" s="11">
        <v>0.5</v>
      </c>
      <c r="B13" s="9" t="s">
        <v>2</v>
      </c>
      <c r="C13" s="9"/>
      <c r="D13" s="9"/>
      <c r="E13" s="9"/>
      <c r="F13" s="9"/>
      <c r="G13" s="9"/>
      <c r="H13" s="9"/>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x14ac:dyDescent="0.25">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v>0.5</v>
      </c>
      <c r="B16" s="9" t="s">
        <v>3</v>
      </c>
      <c r="C16" s="9"/>
      <c r="D16" s="22"/>
      <c r="E16" s="23"/>
      <c r="F16" s="23"/>
      <c r="G16" s="24"/>
      <c r="H16" s="24"/>
      <c r="I16" s="10"/>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85" customHeight="1" x14ac:dyDescent="0.25">
      <c r="A17" s="11"/>
      <c r="B17" s="9" t="s">
        <v>710</v>
      </c>
      <c r="C17" s="9"/>
      <c r="D17" s="22"/>
      <c r="E17" s="23"/>
      <c r="F17" s="23"/>
      <c r="G17" s="24"/>
      <c r="H17" s="24"/>
      <c r="I17" s="1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thickBot="1" x14ac:dyDescent="0.3">
      <c r="A18" s="28"/>
      <c r="B18" s="29"/>
      <c r="C18" s="30"/>
      <c r="D18" s="31"/>
      <c r="E18" s="31"/>
      <c r="F18" s="31"/>
      <c r="G18" s="31"/>
      <c r="H18" s="31"/>
      <c r="I18" s="32"/>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7" t="s">
        <v>338</v>
      </c>
      <c r="B20" s="7" t="s">
        <v>711</v>
      </c>
      <c r="C20" s="7"/>
      <c r="D20" s="7" t="s">
        <v>712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7"/>
      <c r="B21" s="7" t="s">
        <v>713</v>
      </c>
      <c r="C21" s="7"/>
      <c r="D21" s="7" t="s">
        <v>714</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t="s">
        <v>342</v>
      </c>
      <c r="B23" s="7" t="s">
        <v>711</v>
      </c>
      <c r="C23" s="7"/>
      <c r="D23" s="7" t="s">
        <v>715</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t="s">
        <v>713</v>
      </c>
      <c r="C24" s="7"/>
      <c r="D24" s="7" t="s">
        <v>716</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t="s">
        <v>717</v>
      </c>
      <c r="B26" s="7" t="s">
        <v>711</v>
      </c>
      <c r="C26" s="7"/>
      <c r="D26" s="7" t="s">
        <v>718</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t="s">
        <v>713</v>
      </c>
      <c r="C27" s="7"/>
      <c r="D27" s="7" t="s">
        <v>719</v>
      </c>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t="s">
        <v>720</v>
      </c>
      <c r="B29" s="7" t="s">
        <v>711</v>
      </c>
      <c r="C29" s="7"/>
      <c r="D29" s="7" t="s">
        <v>721</v>
      </c>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713</v>
      </c>
      <c r="C30" s="7"/>
      <c r="D30" s="7" t="s">
        <v>722</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80" priority="1" operator="equal">
      <formula>"Review Later"</formula>
    </cfRule>
    <cfRule type="cellIs" dxfId="79" priority="2" operator="equal">
      <formula>"Finished"</formula>
    </cfRule>
    <cfRule type="cellIs" dxfId="78" priority="3" operator="equal">
      <formula>"Incomplete"</formula>
    </cfRule>
  </conditionalFormatting>
  <pageMargins left="0.7" right="0.7" top="0.75" bottom="0.75" header="0.51180555555555496" footer="0.51180555555555496"/>
  <pageSetup firstPageNumber="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C205"/>
  <sheetViews>
    <sheetView zoomScaleNormal="100" zoomScalePageLayoutView="70" workbookViewId="0"/>
  </sheetViews>
  <sheetFormatPr defaultColWidth="0" defaultRowHeight="0" customHeight="1" zeroHeight="1" x14ac:dyDescent="0.25"/>
  <cols>
    <col min="1" max="1" width="11.6640625" style="1" customWidth="1"/>
    <col min="2" max="2" width="14.44140625" style="1" customWidth="1"/>
    <col min="3" max="52" width="10.6640625" style="1" customWidth="1"/>
    <col min="53" max="55" width="0" style="1" hidden="1" customWidth="1"/>
    <col min="56" max="16384" width="10.6640625" style="1" hidden="1"/>
  </cols>
  <sheetData>
    <row r="1" spans="1:52" ht="14.85" customHeight="1" thickBot="1" x14ac:dyDescent="0.3">
      <c r="A1" s="3">
        <v>19</v>
      </c>
      <c r="B1" s="4"/>
      <c r="C1" s="5"/>
      <c r="D1" s="5"/>
      <c r="E1" s="5"/>
      <c r="F1" s="5"/>
      <c r="G1" s="5"/>
      <c r="H1" s="5"/>
      <c r="I1" s="6"/>
      <c r="J1" s="7"/>
      <c r="K1" s="7"/>
      <c r="L1" s="7"/>
      <c r="M1" s="7"/>
      <c r="N1" s="7"/>
      <c r="O1" s="7"/>
      <c r="P1" s="7"/>
      <c r="Q1" s="7"/>
      <c r="R1" s="7"/>
      <c r="S1" s="7"/>
      <c r="T1" s="7"/>
      <c r="U1" s="7"/>
      <c r="V1" s="7"/>
      <c r="W1" s="7"/>
    </row>
    <row r="2" spans="1:52" ht="14.85" customHeight="1" x14ac:dyDescent="0.25">
      <c r="A2" s="8" t="s">
        <v>4</v>
      </c>
      <c r="B2" s="9"/>
      <c r="C2" s="9"/>
      <c r="D2" s="9"/>
      <c r="E2" s="9"/>
      <c r="F2" s="9"/>
      <c r="G2" s="9"/>
      <c r="H2" s="9"/>
      <c r="I2" s="10"/>
      <c r="J2" s="7"/>
      <c r="K2" s="7"/>
      <c r="L2" s="7"/>
      <c r="M2" s="7"/>
      <c r="N2" s="7"/>
      <c r="O2" s="7"/>
      <c r="P2" s="7"/>
      <c r="Q2" s="7"/>
      <c r="R2" s="7"/>
      <c r="S2" s="7"/>
      <c r="T2" s="7"/>
      <c r="U2" s="7"/>
      <c r="V2" s="7"/>
      <c r="W2" s="7"/>
    </row>
    <row r="3" spans="1:52" ht="14.85" customHeight="1" x14ac:dyDescent="0.25">
      <c r="A3" s="11">
        <v>2</v>
      </c>
      <c r="B3" s="9"/>
      <c r="C3" s="9"/>
      <c r="D3" s="9"/>
      <c r="E3" s="9"/>
      <c r="F3" s="9"/>
      <c r="G3" s="9"/>
      <c r="H3" s="9"/>
      <c r="I3" s="10"/>
      <c r="J3" s="7"/>
      <c r="K3" s="7"/>
      <c r="L3" s="7"/>
      <c r="M3" s="7"/>
      <c r="N3" s="7"/>
      <c r="O3" s="7"/>
      <c r="P3" s="7"/>
      <c r="Q3" s="7"/>
      <c r="R3" s="7"/>
      <c r="S3" s="7"/>
      <c r="T3" s="7"/>
      <c r="U3" s="7"/>
      <c r="V3" s="7"/>
      <c r="W3" s="7"/>
    </row>
    <row r="4" spans="1:52" ht="14.85" customHeight="1" x14ac:dyDescent="0.25">
      <c r="A4" s="11"/>
      <c r="B4" s="15" t="s">
        <v>705</v>
      </c>
      <c r="C4" s="9"/>
      <c r="D4" s="9"/>
      <c r="E4" s="9"/>
      <c r="F4" s="9"/>
      <c r="G4" s="13"/>
      <c r="H4" s="13"/>
      <c r="I4" s="14"/>
      <c r="J4" s="7"/>
      <c r="K4" s="7"/>
      <c r="L4" s="7"/>
      <c r="M4" s="7"/>
      <c r="N4" s="7"/>
      <c r="O4" s="7"/>
      <c r="P4" s="7"/>
      <c r="Q4" s="7"/>
      <c r="R4" s="7"/>
      <c r="S4" s="7"/>
      <c r="T4" s="7"/>
      <c r="U4" s="7"/>
      <c r="V4" s="7"/>
      <c r="W4" s="7"/>
    </row>
    <row r="5" spans="1:52" ht="14.85" customHeight="1" x14ac:dyDescent="0.25">
      <c r="A5" s="11"/>
      <c r="B5" s="15" t="s">
        <v>706</v>
      </c>
      <c r="C5" s="9"/>
      <c r="D5" s="9"/>
      <c r="E5" s="9"/>
      <c r="F5" s="9"/>
      <c r="G5" s="13"/>
      <c r="H5" s="13"/>
      <c r="I5" s="14"/>
      <c r="J5" s="7"/>
      <c r="K5" s="7"/>
      <c r="L5" s="7"/>
      <c r="M5" s="7"/>
      <c r="N5" s="7"/>
      <c r="O5" s="7"/>
      <c r="P5" s="7"/>
      <c r="Q5" s="7"/>
      <c r="R5" s="7"/>
      <c r="S5" s="7"/>
      <c r="T5" s="7"/>
      <c r="U5" s="7"/>
      <c r="V5" s="7"/>
      <c r="W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v>0.5</v>
      </c>
      <c r="B7" s="9" t="s">
        <v>10</v>
      </c>
      <c r="C7" s="9"/>
      <c r="D7" s="9"/>
      <c r="E7" s="9"/>
      <c r="F7" s="9"/>
      <c r="G7" s="13"/>
      <c r="H7" s="13"/>
      <c r="I7" s="10"/>
      <c r="J7" s="7" t="s">
        <v>280</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19" t="s">
        <v>707</v>
      </c>
      <c r="C8" s="9"/>
      <c r="D8" s="9"/>
      <c r="E8" s="9"/>
      <c r="F8" s="9"/>
      <c r="G8" s="13"/>
      <c r="H8" s="13"/>
      <c r="I8" s="10"/>
      <c r="J8" s="7" t="s">
        <v>723</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19"/>
      <c r="C9" s="9"/>
      <c r="D9" s="9"/>
      <c r="E9" s="9"/>
      <c r="F9" s="9"/>
      <c r="G9" s="13"/>
      <c r="H9" s="13"/>
      <c r="I9" s="10"/>
      <c r="J9" s="7" t="s">
        <v>724</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v>0.5</v>
      </c>
      <c r="B10" s="9" t="s">
        <v>1</v>
      </c>
      <c r="C10" s="9"/>
      <c r="D10" s="9"/>
      <c r="E10" s="9"/>
      <c r="F10" s="9"/>
      <c r="G10" s="9"/>
      <c r="H10" s="9"/>
      <c r="I10" s="10"/>
      <c r="J10" s="7" t="s">
        <v>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x14ac:dyDescent="0.25">
      <c r="A11" s="11"/>
      <c r="B11" s="9" t="s">
        <v>708</v>
      </c>
      <c r="C11" s="9"/>
      <c r="D11" s="9"/>
      <c r="E11" s="9"/>
      <c r="F11" s="9"/>
      <c r="G11" s="9"/>
      <c r="H11" s="9"/>
      <c r="I11" s="10"/>
      <c r="J11" s="7" t="s">
        <v>725</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21" customFormat="1" ht="14.85" customHeight="1" x14ac:dyDescent="0.25">
      <c r="A12" s="11"/>
      <c r="B12" s="9"/>
      <c r="C12" s="9"/>
      <c r="D12" s="9"/>
      <c r="E12" s="9"/>
      <c r="F12" s="9"/>
      <c r="G12" s="9"/>
      <c r="H12" s="9"/>
      <c r="I12" s="10"/>
      <c r="J12" s="7" t="s">
        <v>726</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21" customFormat="1" ht="14.85" customHeight="1" x14ac:dyDescent="0.25">
      <c r="A13" s="11">
        <v>0.5</v>
      </c>
      <c r="B13" s="9" t="s">
        <v>2</v>
      </c>
      <c r="C13" s="9"/>
      <c r="D13" s="9"/>
      <c r="E13" s="9"/>
      <c r="F13" s="9"/>
      <c r="G13" s="9"/>
      <c r="H13" s="9"/>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x14ac:dyDescent="0.25">
      <c r="A14" s="11"/>
      <c r="B14" s="9" t="s">
        <v>709</v>
      </c>
      <c r="C14" s="9"/>
      <c r="D14" s="9"/>
      <c r="E14" s="9"/>
      <c r="F14" s="9"/>
      <c r="G14" s="9"/>
      <c r="H14" s="9"/>
      <c r="I14" s="10"/>
      <c r="J14" s="7" t="s">
        <v>2</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1"/>
      <c r="B15" s="9"/>
      <c r="C15" s="9"/>
      <c r="D15" s="9"/>
      <c r="E15" s="9"/>
      <c r="F15" s="9"/>
      <c r="G15" s="9"/>
      <c r="H15" s="9"/>
      <c r="I15" s="10"/>
      <c r="J15" s="7" t="s">
        <v>727</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v>0.5</v>
      </c>
      <c r="B16" s="9" t="s">
        <v>3</v>
      </c>
      <c r="C16" s="9"/>
      <c r="D16" s="22"/>
      <c r="E16" s="23"/>
      <c r="F16" s="23"/>
      <c r="G16" s="24"/>
      <c r="H16" s="24"/>
      <c r="I16" s="10"/>
      <c r="J16" s="17" t="s">
        <v>728</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85" customHeight="1" x14ac:dyDescent="0.25">
      <c r="A17" s="11"/>
      <c r="B17" s="9" t="s">
        <v>710</v>
      </c>
      <c r="C17" s="9"/>
      <c r="D17" s="22"/>
      <c r="E17" s="23"/>
      <c r="F17" s="23"/>
      <c r="G17" s="24"/>
      <c r="H17" s="24"/>
      <c r="I17" s="1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thickBot="1" x14ac:dyDescent="0.3">
      <c r="A18" s="28"/>
      <c r="B18" s="29"/>
      <c r="C18" s="30"/>
      <c r="D18" s="31"/>
      <c r="E18" s="31"/>
      <c r="F18" s="31"/>
      <c r="G18" s="31"/>
      <c r="H18" s="31"/>
      <c r="I18" s="32"/>
      <c r="J18" s="20" t="s">
        <v>3</v>
      </c>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x14ac:dyDescent="0.25">
      <c r="A19" s="7"/>
      <c r="B19" s="7"/>
      <c r="C19" s="7"/>
      <c r="D19" s="7"/>
      <c r="E19" s="7"/>
      <c r="F19" s="7"/>
      <c r="G19" s="7"/>
      <c r="H19" s="7"/>
      <c r="I19" s="7"/>
      <c r="J19" s="7" t="s">
        <v>729</v>
      </c>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7"/>
      <c r="B20" s="7"/>
      <c r="C20" s="7"/>
      <c r="D20" s="7"/>
      <c r="E20" s="7"/>
      <c r="F20" s="7"/>
      <c r="G20" s="7"/>
      <c r="H20" s="7"/>
      <c r="I20" s="7"/>
      <c r="J20" s="7" t="s">
        <v>730</v>
      </c>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77" priority="1" operator="equal">
      <formula>"Review Later"</formula>
    </cfRule>
    <cfRule type="cellIs" dxfId="76" priority="2" operator="equal">
      <formula>"Finished"</formula>
    </cfRule>
    <cfRule type="cellIs" dxfId="75" priority="3" operator="equal">
      <formula>"Incomplete"</formula>
    </cfRule>
  </conditionalFormatting>
  <pageMargins left="0.7" right="0.7" top="0.75" bottom="0.75" header="0.51180555555555496" footer="0.51180555555555496"/>
  <pageSetup firstPageNumber="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1" customWidth="1"/>
    <col min="2" max="2" width="14.44140625" style="1" customWidth="1"/>
    <col min="3" max="52" width="10.6640625" style="1" customWidth="1"/>
    <col min="53" max="55" width="0" style="1" hidden="1" customWidth="1"/>
    <col min="56" max="16384" width="10.6640625" style="1" hidden="1"/>
  </cols>
  <sheetData>
    <row r="1" spans="1:52" ht="14.85" customHeight="1" thickBot="1" x14ac:dyDescent="0.3">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705</v>
      </c>
      <c r="C4" s="9"/>
      <c r="D4" s="9"/>
      <c r="E4" s="9"/>
      <c r="F4" s="9"/>
      <c r="G4" s="13"/>
      <c r="H4" s="13"/>
      <c r="I4" s="14"/>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706</v>
      </c>
      <c r="C5" s="9"/>
      <c r="D5" s="9"/>
      <c r="E5" s="9"/>
      <c r="F5" s="9"/>
      <c r="G5" s="13"/>
      <c r="H5" s="13"/>
      <c r="I5" s="14"/>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x14ac:dyDescent="0.25">
      <c r="A11" s="11"/>
      <c r="B11" s="9" t="s">
        <v>708</v>
      </c>
      <c r="C11" s="9"/>
      <c r="D11" s="9"/>
      <c r="E11" s="9"/>
      <c r="F11" s="9"/>
      <c r="G11" s="9"/>
      <c r="H11" s="9"/>
      <c r="I11" s="10"/>
      <c r="J11" s="7"/>
      <c r="K11" s="7"/>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x14ac:dyDescent="0.25">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x14ac:dyDescent="0.25">
      <c r="A13" s="11">
        <v>0.5</v>
      </c>
      <c r="B13" s="9" t="s">
        <v>2</v>
      </c>
      <c r="C13" s="9"/>
      <c r="D13" s="9"/>
      <c r="E13" s="9"/>
      <c r="F13" s="9"/>
      <c r="G13" s="9"/>
      <c r="H13" s="9"/>
      <c r="I13" s="10"/>
      <c r="J13" s="7"/>
      <c r="K13" s="7"/>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7" t="s">
        <v>338</v>
      </c>
      <c r="B20" s="7" t="s">
        <v>1062</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7"/>
      <c r="B21" s="7" t="s">
        <v>1063</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t="s">
        <v>342</v>
      </c>
      <c r="B23" s="7" t="s">
        <v>1064</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t="s">
        <v>1065</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t="s">
        <v>717</v>
      </c>
      <c r="B26" s="7" t="s">
        <v>1066</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t="s">
        <v>1067</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t="s">
        <v>720</v>
      </c>
      <c r="B29" s="7" t="s">
        <v>1068</v>
      </c>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1069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74" priority="1" operator="equal">
      <formula>"Review Later"</formula>
    </cfRule>
    <cfRule type="cellIs" dxfId="73" priority="2" operator="equal">
      <formula>"Finished"</formula>
    </cfRule>
    <cfRule type="cellIs" dxfId="72" priority="3" operator="equal">
      <formula>"Incomplete"</formula>
    </cfRule>
  </conditionalFormatting>
  <pageMargins left="0.7" right="0.7" top="0.75" bottom="0.75" header="0.51180555555555496" footer="0.51180555555555496"/>
  <pageSetup firstPageNumber="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1" customWidth="1"/>
    <col min="2" max="2" width="14.44140625" style="1" customWidth="1"/>
    <col min="3" max="52" width="10.6640625" style="1" customWidth="1"/>
    <col min="53" max="55" width="0" style="1" hidden="1" customWidth="1"/>
    <col min="56" max="16384" width="10.6640625" style="1" hidden="1"/>
  </cols>
  <sheetData>
    <row r="1" spans="1:52" ht="14.85" customHeight="1" thickBot="1" x14ac:dyDescent="0.3">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705</v>
      </c>
      <c r="C4" s="9"/>
      <c r="D4" s="9"/>
      <c r="E4" s="9"/>
      <c r="F4" s="9"/>
      <c r="G4" s="13"/>
      <c r="H4" s="13"/>
      <c r="I4" s="14"/>
      <c r="J4" s="7" t="s">
        <v>0</v>
      </c>
      <c r="K4" s="7" t="s">
        <v>1070</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706</v>
      </c>
      <c r="C5" s="9"/>
      <c r="D5" s="9"/>
      <c r="E5" s="9"/>
      <c r="F5" s="9"/>
      <c r="G5" s="13"/>
      <c r="H5" s="13"/>
      <c r="I5" s="14"/>
      <c r="J5" s="7"/>
      <c r="K5" s="7" t="s">
        <v>1071</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v>0.5</v>
      </c>
      <c r="B7" s="9" t="s">
        <v>10</v>
      </c>
      <c r="C7" s="9"/>
      <c r="D7" s="9"/>
      <c r="E7" s="9"/>
      <c r="F7" s="9"/>
      <c r="G7" s="13"/>
      <c r="H7" s="13"/>
      <c r="I7" s="10"/>
      <c r="J7" s="7" t="s">
        <v>1</v>
      </c>
      <c r="K7" s="7" t="s">
        <v>1072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19" t="s">
        <v>707</v>
      </c>
      <c r="C8" s="9"/>
      <c r="D8" s="9"/>
      <c r="E8" s="9"/>
      <c r="F8" s="9"/>
      <c r="G8" s="13"/>
      <c r="H8" s="13"/>
      <c r="I8" s="10"/>
      <c r="J8" s="7"/>
      <c r="K8" s="7" t="s">
        <v>1073</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v>0.5</v>
      </c>
      <c r="B10" s="9" t="s">
        <v>1</v>
      </c>
      <c r="C10" s="9"/>
      <c r="D10" s="9"/>
      <c r="E10" s="9"/>
      <c r="F10" s="9"/>
      <c r="G10" s="9"/>
      <c r="H10" s="9"/>
      <c r="I10" s="10"/>
      <c r="J10" s="7" t="s">
        <v>2</v>
      </c>
      <c r="K10" s="7" t="s">
        <v>1074</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x14ac:dyDescent="0.25">
      <c r="A11" s="11"/>
      <c r="B11" s="9" t="s">
        <v>708</v>
      </c>
      <c r="C11" s="9"/>
      <c r="D11" s="9"/>
      <c r="E11" s="9"/>
      <c r="F11" s="9"/>
      <c r="G11" s="9"/>
      <c r="H11" s="9"/>
      <c r="I11" s="10"/>
      <c r="J11" s="7"/>
      <c r="K11" s="7" t="s">
        <v>1075</v>
      </c>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x14ac:dyDescent="0.25">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x14ac:dyDescent="0.25">
      <c r="A13" s="11">
        <v>0.5</v>
      </c>
      <c r="B13" s="9" t="s">
        <v>2</v>
      </c>
      <c r="C13" s="9"/>
      <c r="D13" s="9"/>
      <c r="E13" s="9"/>
      <c r="F13" s="9"/>
      <c r="G13" s="9"/>
      <c r="H13" s="9"/>
      <c r="I13" s="10"/>
      <c r="J13" s="7" t="s">
        <v>3</v>
      </c>
      <c r="K13" s="7" t="s">
        <v>1076</v>
      </c>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11"/>
      <c r="B14" s="9" t="s">
        <v>709</v>
      </c>
      <c r="C14" s="9"/>
      <c r="D14" s="9"/>
      <c r="E14" s="9"/>
      <c r="F14" s="9"/>
      <c r="G14" s="9"/>
      <c r="H14" s="9"/>
      <c r="I14" s="10"/>
      <c r="J14" s="7"/>
      <c r="K14" s="7" t="s">
        <v>1077</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71" priority="1" operator="equal">
      <formula>"Review Later"</formula>
    </cfRule>
    <cfRule type="cellIs" dxfId="70" priority="2" operator="equal">
      <formula>"Finished"</formula>
    </cfRule>
    <cfRule type="cellIs" dxfId="69" priority="3" operator="equal">
      <formula>"Incomplete"</formula>
    </cfRule>
  </conditionalFormatting>
  <pageMargins left="0.7" right="0.7" top="0.75" bottom="0.75" header="0.51180555555555496" footer="0.51180555555555496"/>
  <pageSetup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794" customWidth="1"/>
    <col min="2" max="2" width="14.109375" style="794" customWidth="1"/>
    <col min="3" max="9" width="11.6640625" style="794" customWidth="1"/>
    <col min="10" max="52" width="8.6640625" style="794" customWidth="1"/>
    <col min="53" max="55" width="0" style="794" hidden="1" customWidth="1"/>
    <col min="56" max="16384" width="8.6640625" style="794" hidden="1"/>
  </cols>
  <sheetData>
    <row r="1" spans="1:52" ht="14.4" customHeight="1" thickBot="1" x14ac:dyDescent="0.3">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 customHeight="1" x14ac:dyDescent="0.25">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 customHeight="1" x14ac:dyDescent="0.25">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 customHeight="1" x14ac:dyDescent="0.25">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 customHeight="1" x14ac:dyDescent="0.25">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 customHeight="1" x14ac:dyDescent="0.25">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 customHeight="1" x14ac:dyDescent="0.25">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 customHeight="1" x14ac:dyDescent="0.25">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 customHeight="1" x14ac:dyDescent="0.25">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 customHeight="1" x14ac:dyDescent="0.25">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 customHeight="1" x14ac:dyDescent="0.25">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 customHeight="1" x14ac:dyDescent="0.25">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 customHeight="1" x14ac:dyDescent="0.25">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 customHeight="1" thickBot="1" x14ac:dyDescent="0.3">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 customHeight="1" x14ac:dyDescent="0.25">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 customHeight="1" x14ac:dyDescent="0.25">
      <c r="A16" s="795"/>
      <c r="B16" s="795"/>
      <c r="C16" s="795"/>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 customHeight="1" x14ac:dyDescent="0.25">
      <c r="A17" s="795" t="s">
        <v>0</v>
      </c>
      <c r="B17" s="795" t="s">
        <v>971</v>
      </c>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 customHeight="1" x14ac:dyDescent="0.25">
      <c r="A18" s="795"/>
      <c r="B18" s="795" t="s">
        <v>972</v>
      </c>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 customHeight="1" x14ac:dyDescent="0.25">
      <c r="A19" s="795"/>
      <c r="B19" s="795"/>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 customHeight="1" x14ac:dyDescent="0.25">
      <c r="A20" s="795"/>
      <c r="B20" s="795" t="s">
        <v>973</v>
      </c>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 customHeight="1" x14ac:dyDescent="0.25">
      <c r="A21" s="795"/>
      <c r="B21" s="795" t="s">
        <v>974</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 customHeight="1" x14ac:dyDescent="0.25">
      <c r="A22" s="795"/>
      <c r="B22" s="795"/>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 customHeight="1" x14ac:dyDescent="0.25">
      <c r="A23" s="795" t="s">
        <v>298</v>
      </c>
      <c r="B23" s="795" t="s">
        <v>975</v>
      </c>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 customHeight="1" x14ac:dyDescent="0.25">
      <c r="A24" s="795"/>
      <c r="B24" s="795" t="s">
        <v>976</v>
      </c>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 customHeight="1" x14ac:dyDescent="0.25">
      <c r="A25" s="795"/>
      <c r="B25" s="795" t="s">
        <v>977</v>
      </c>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 customHeight="1" x14ac:dyDescent="0.25">
      <c r="A26" s="795"/>
      <c r="B26" s="795" t="s">
        <v>978</v>
      </c>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 customHeight="1" x14ac:dyDescent="0.25">
      <c r="A27" s="795"/>
      <c r="B27" s="795" t="s">
        <v>979</v>
      </c>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 customHeight="1" x14ac:dyDescent="0.25">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 customHeight="1" x14ac:dyDescent="0.25">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 customHeight="1" x14ac:dyDescent="0.25">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 customHeight="1" x14ac:dyDescent="0.25">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 customHeight="1" x14ac:dyDescent="0.25">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 customHeight="1" x14ac:dyDescent="0.25">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 customHeight="1" x14ac:dyDescent="0.25">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 customHeight="1" x14ac:dyDescent="0.25">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 customHeight="1" x14ac:dyDescent="0.25">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 customHeight="1" x14ac:dyDescent="0.25">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 customHeight="1" x14ac:dyDescent="0.25">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 customHeight="1" x14ac:dyDescent="0.25">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 customHeight="1" x14ac:dyDescent="0.25">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 customHeight="1" x14ac:dyDescent="0.25">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 customHeight="1" x14ac:dyDescent="0.25">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 customHeight="1" x14ac:dyDescent="0.25">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 customHeight="1" x14ac:dyDescent="0.25">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 customHeight="1" x14ac:dyDescent="0.25">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 customHeight="1" x14ac:dyDescent="0.25">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 customHeight="1" x14ac:dyDescent="0.25">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 customHeight="1" x14ac:dyDescent="0.25">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 customHeight="1" x14ac:dyDescent="0.25">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 customHeight="1" x14ac:dyDescent="0.25">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 customHeight="1" x14ac:dyDescent="0.25">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 customHeight="1" x14ac:dyDescent="0.25">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 customHeight="1" x14ac:dyDescent="0.25">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 customHeight="1" x14ac:dyDescent="0.25">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 customHeight="1" x14ac:dyDescent="0.25">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 customHeight="1" x14ac:dyDescent="0.25">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 customHeight="1" x14ac:dyDescent="0.25">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 customHeight="1" x14ac:dyDescent="0.25">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 customHeight="1" x14ac:dyDescent="0.25">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 customHeight="1" x14ac:dyDescent="0.25">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 customHeight="1" x14ac:dyDescent="0.25">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 customHeight="1" x14ac:dyDescent="0.25">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 customHeight="1" x14ac:dyDescent="0.25">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 customHeight="1" x14ac:dyDescent="0.25">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 customHeight="1" x14ac:dyDescent="0.25">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 customHeight="1" x14ac:dyDescent="0.25">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 customHeight="1" x14ac:dyDescent="0.25">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 customHeight="1" x14ac:dyDescent="0.25">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 customHeight="1" x14ac:dyDescent="0.25">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 customHeight="1" x14ac:dyDescent="0.25">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 customHeight="1" x14ac:dyDescent="0.25">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 customHeight="1" x14ac:dyDescent="0.25">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 customHeight="1" x14ac:dyDescent="0.25">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 customHeight="1" x14ac:dyDescent="0.25">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 customHeight="1" x14ac:dyDescent="0.25">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 customHeight="1" x14ac:dyDescent="0.25">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 customHeight="1" x14ac:dyDescent="0.25">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 customHeight="1" x14ac:dyDescent="0.25">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 customHeight="1" x14ac:dyDescent="0.25">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 customHeight="1" x14ac:dyDescent="0.25">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 customHeight="1" x14ac:dyDescent="0.25">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 customHeight="1" x14ac:dyDescent="0.25">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 customHeight="1" x14ac:dyDescent="0.25">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 customHeight="1" x14ac:dyDescent="0.25">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 customHeight="1" x14ac:dyDescent="0.25">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 customHeight="1" x14ac:dyDescent="0.25">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 customHeight="1" x14ac:dyDescent="0.25">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 customHeight="1" x14ac:dyDescent="0.25">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 customHeight="1" x14ac:dyDescent="0.25">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 customHeight="1" x14ac:dyDescent="0.25">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 customHeight="1" x14ac:dyDescent="0.25">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 customHeight="1" x14ac:dyDescent="0.25">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 customHeight="1" x14ac:dyDescent="0.25">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 customHeight="1" x14ac:dyDescent="0.25">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 customHeight="1" x14ac:dyDescent="0.25">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 customHeight="1" x14ac:dyDescent="0.25">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 customHeight="1" x14ac:dyDescent="0.25">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 customHeight="1" x14ac:dyDescent="0.25">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 customHeight="1" x14ac:dyDescent="0.25">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 customHeight="1" x14ac:dyDescent="0.25">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 customHeight="1" x14ac:dyDescent="0.25">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 customHeight="1" x14ac:dyDescent="0.25">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 customHeight="1" x14ac:dyDescent="0.25">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 customHeight="1" x14ac:dyDescent="0.25">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 customHeight="1" x14ac:dyDescent="0.25">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 customHeight="1" x14ac:dyDescent="0.25">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 customHeight="1" x14ac:dyDescent="0.25">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 customHeight="1" x14ac:dyDescent="0.25">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 customHeight="1" x14ac:dyDescent="0.25">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 customHeight="1" x14ac:dyDescent="0.25">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 customHeight="1" x14ac:dyDescent="0.25">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 customHeight="1" x14ac:dyDescent="0.25">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 customHeight="1" x14ac:dyDescent="0.25">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 customHeight="1" x14ac:dyDescent="0.25">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 customHeight="1" x14ac:dyDescent="0.25">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 customHeight="1" x14ac:dyDescent="0.25">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 customHeight="1" x14ac:dyDescent="0.25">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 customHeight="1" x14ac:dyDescent="0.25">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 customHeight="1" x14ac:dyDescent="0.25">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 customHeight="1" x14ac:dyDescent="0.25">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 customHeight="1" x14ac:dyDescent="0.25">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 customHeight="1" x14ac:dyDescent="0.25">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 customHeight="1" x14ac:dyDescent="0.25">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 customHeight="1" x14ac:dyDescent="0.25">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 customHeight="1" x14ac:dyDescent="0.25">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 customHeight="1" x14ac:dyDescent="0.25">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 customHeight="1" x14ac:dyDescent="0.25">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 customHeight="1" x14ac:dyDescent="0.25">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 customHeight="1" x14ac:dyDescent="0.25">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 customHeight="1" x14ac:dyDescent="0.25">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 customHeight="1" x14ac:dyDescent="0.25">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 customHeight="1" x14ac:dyDescent="0.25">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 customHeight="1" x14ac:dyDescent="0.25">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 customHeight="1" x14ac:dyDescent="0.25">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 customHeight="1" x14ac:dyDescent="0.25">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 customHeight="1" x14ac:dyDescent="0.25">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 customHeight="1" x14ac:dyDescent="0.25">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 customHeight="1" x14ac:dyDescent="0.25">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 customHeight="1" x14ac:dyDescent="0.25">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 customHeight="1" x14ac:dyDescent="0.25">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 customHeight="1" x14ac:dyDescent="0.25">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 customHeight="1" x14ac:dyDescent="0.25">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 customHeight="1" x14ac:dyDescent="0.25">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 customHeight="1" x14ac:dyDescent="0.25">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 customHeight="1" x14ac:dyDescent="0.25">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 customHeight="1" x14ac:dyDescent="0.25">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 customHeight="1" x14ac:dyDescent="0.25">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 customHeight="1" x14ac:dyDescent="0.25">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 customHeight="1" x14ac:dyDescent="0.25">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 customHeight="1" x14ac:dyDescent="0.25">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 customHeight="1" x14ac:dyDescent="0.25">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 customHeight="1" x14ac:dyDescent="0.25">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 customHeight="1" x14ac:dyDescent="0.25">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 customHeight="1" x14ac:dyDescent="0.25">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 customHeight="1" x14ac:dyDescent="0.25">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 customHeight="1" x14ac:dyDescent="0.25">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 customHeight="1" x14ac:dyDescent="0.25">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 customHeight="1" x14ac:dyDescent="0.25">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 customHeight="1" x14ac:dyDescent="0.25">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 customHeight="1" x14ac:dyDescent="0.25">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 customHeight="1" x14ac:dyDescent="0.25">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 customHeight="1" x14ac:dyDescent="0.25">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 customHeight="1" x14ac:dyDescent="0.25">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 customHeight="1" x14ac:dyDescent="0.25">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 customHeight="1" x14ac:dyDescent="0.25">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 customHeight="1" x14ac:dyDescent="0.25">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 customHeight="1" x14ac:dyDescent="0.25">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 customHeight="1" x14ac:dyDescent="0.25">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 customHeight="1" x14ac:dyDescent="0.25">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 customHeight="1" x14ac:dyDescent="0.25">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 customHeight="1" x14ac:dyDescent="0.25">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 customHeight="1" x14ac:dyDescent="0.25">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 customHeight="1" x14ac:dyDescent="0.25">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 customHeight="1" x14ac:dyDescent="0.25">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 customHeight="1" x14ac:dyDescent="0.25">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 customHeight="1" x14ac:dyDescent="0.25">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 customHeight="1" x14ac:dyDescent="0.25">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 customHeight="1" x14ac:dyDescent="0.25">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 customHeight="1" x14ac:dyDescent="0.25">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 customHeight="1" x14ac:dyDescent="0.25">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 customHeight="1" x14ac:dyDescent="0.25">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 customHeight="1" x14ac:dyDescent="0.25">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 customHeight="1" x14ac:dyDescent="0.25">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 customHeight="1" x14ac:dyDescent="0.25">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 customHeight="1" x14ac:dyDescent="0.25">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 customHeight="1" x14ac:dyDescent="0.25">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 customHeight="1" x14ac:dyDescent="0.25">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 customHeight="1" x14ac:dyDescent="0.25">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 customHeight="1" x14ac:dyDescent="0.25">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 customHeight="1" x14ac:dyDescent="0.25">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 customHeight="1" x14ac:dyDescent="0.25">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 customHeight="1" x14ac:dyDescent="0.25">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 customHeight="1" x14ac:dyDescent="0.25">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 customHeight="1" x14ac:dyDescent="0.25">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 customHeight="1" x14ac:dyDescent="0.25">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231" priority="1" operator="equal">
      <formula>"Review Later"</formula>
    </cfRule>
    <cfRule type="cellIs" dxfId="230" priority="2" operator="equal">
      <formula>"Finished"</formula>
    </cfRule>
    <cfRule type="cellIs" dxfId="229" priority="3" operator="equal">
      <formula>"Incomplete"</formula>
    </cfRule>
  </conditionalFormatting>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x14ac:dyDescent="0.25"/>
  <cols>
    <col min="1" max="1" width="11.6640625" style="1" customWidth="1"/>
    <col min="2" max="2" width="14.44140625" style="1" customWidth="1"/>
    <col min="3" max="52" width="10.6640625" style="1" customWidth="1"/>
    <col min="53" max="55" width="0" style="1" hidden="1" customWidth="1"/>
    <col min="56" max="16384" width="10.6640625" style="1" hidden="1"/>
  </cols>
  <sheetData>
    <row r="1" spans="1:52" ht="14.85" customHeight="1" thickBot="1" x14ac:dyDescent="0.3">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705</v>
      </c>
      <c r="C4" s="9"/>
      <c r="D4" s="9"/>
      <c r="E4" s="9"/>
      <c r="F4" s="9"/>
      <c r="G4" s="13"/>
      <c r="H4" s="13"/>
      <c r="I4" s="14"/>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706</v>
      </c>
      <c r="C5" s="9"/>
      <c r="D5" s="9"/>
      <c r="E5" s="9"/>
      <c r="F5" s="9"/>
      <c r="G5" s="13"/>
      <c r="H5" s="13"/>
      <c r="I5" s="14"/>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x14ac:dyDescent="0.25">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x14ac:dyDescent="0.25">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x14ac:dyDescent="0.25">
      <c r="A11" s="11"/>
      <c r="B11" s="9" t="s">
        <v>708</v>
      </c>
      <c r="C11" s="9"/>
      <c r="D11" s="9"/>
      <c r="E11" s="9"/>
      <c r="F11" s="9"/>
      <c r="G11" s="9"/>
      <c r="H11" s="9"/>
      <c r="I11" s="10"/>
      <c r="J11" s="7"/>
      <c r="K11" s="7"/>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x14ac:dyDescent="0.25">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x14ac:dyDescent="0.25">
      <c r="A13" s="11">
        <v>0.5</v>
      </c>
      <c r="B13" s="9" t="s">
        <v>2</v>
      </c>
      <c r="C13" s="9"/>
      <c r="D13" s="9"/>
      <c r="E13" s="9"/>
      <c r="F13" s="9"/>
      <c r="G13" s="9"/>
      <c r="H13" s="9"/>
      <c r="I13" s="10"/>
      <c r="J13" s="7"/>
      <c r="K13" s="7"/>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x14ac:dyDescent="0.25">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x14ac:dyDescent="0.25">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x14ac:dyDescent="0.3">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x14ac:dyDescent="0.25">
      <c r="A21" s="7"/>
      <c r="B21" s="7" t="s">
        <v>0</v>
      </c>
      <c r="C21" s="7" t="s">
        <v>1078</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7"/>
      <c r="B22" s="7"/>
      <c r="C22" s="7" t="s">
        <v>1079</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7"/>
      <c r="B24" s="7"/>
      <c r="C24" s="7" t="s">
        <v>1080</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7"/>
      <c r="B25" s="7"/>
      <c r="C25" s="7" t="s">
        <v>1081</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t="s">
        <v>1082</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t="s">
        <v>1</v>
      </c>
      <c r="C29" s="7" t="s">
        <v>1083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c r="C30" s="7" t="s">
        <v>1084</v>
      </c>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t="s">
        <v>1085</v>
      </c>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t="s">
        <v>1086</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c r="C34" s="7" t="s">
        <v>1087</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c r="C35" s="7" t="s">
        <v>1088</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t="s">
        <v>1089</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t="s">
        <v>2</v>
      </c>
      <c r="C39" s="7" t="s">
        <v>1078</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c r="C40" s="7" t="s">
        <v>1090</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t="s">
        <v>1091</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t="s">
        <v>1092</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c r="B44" s="7"/>
      <c r="C44" s="7" t="s">
        <v>1093</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c r="C45" s="7" t="s">
        <v>1094</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c r="B48" s="7" t="s">
        <v>3</v>
      </c>
      <c r="C48" s="7" t="s">
        <v>1095</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c r="C49" s="7" t="s">
        <v>1096</v>
      </c>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t="s">
        <v>1097</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t="s">
        <v>1098</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t="s">
        <v>1099</v>
      </c>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t="s">
        <v>1100</v>
      </c>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68" priority="1" operator="equal">
      <formula>"Review Later"</formula>
    </cfRule>
    <cfRule type="cellIs" dxfId="67" priority="2" operator="equal">
      <formula>"Finished"</formula>
    </cfRule>
    <cfRule type="cellIs" dxfId="66" priority="3" operator="equal">
      <formula>"Incomplete"</formula>
    </cfRule>
  </conditionalFormatting>
  <pageMargins left="0.7" right="0.7" top="0.75" bottom="0.75" header="0.51180555555555496" footer="0.51180555555555496"/>
  <pageSetup firstPageNumber="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C205"/>
  <sheetViews>
    <sheetView zoomScaleNormal="100" workbookViewId="0"/>
  </sheetViews>
  <sheetFormatPr defaultColWidth="0" defaultRowHeight="0" customHeight="1" zeroHeight="1" x14ac:dyDescent="0.25"/>
  <cols>
    <col min="1" max="1" width="11.6640625" style="1" customWidth="1"/>
    <col min="2" max="2" width="14.6640625" style="1" customWidth="1"/>
    <col min="3" max="3" width="10.6640625" style="1" customWidth="1"/>
    <col min="4" max="4" width="14.6640625" style="1" bestFit="1" customWidth="1"/>
    <col min="5" max="5" width="13" style="1" bestFit="1" customWidth="1"/>
    <col min="6" max="6" width="12.109375" style="1" bestFit="1" customWidth="1"/>
    <col min="7" max="8" width="12.6640625" style="1" customWidth="1"/>
    <col min="9" max="52" width="10.6640625" style="1" customWidth="1"/>
    <col min="53" max="55" width="0" style="1" hidden="1" customWidth="1"/>
    <col min="56" max="16384" width="10.6640625" style="1" hidden="1"/>
  </cols>
  <sheetData>
    <row r="1" spans="1:52" ht="14.4" thickBot="1" x14ac:dyDescent="0.3">
      <c r="A1" s="3">
        <v>20</v>
      </c>
      <c r="B1" s="4"/>
      <c r="C1" s="5"/>
      <c r="D1" s="5"/>
      <c r="E1" s="5"/>
      <c r="F1" s="5"/>
      <c r="G1" s="5"/>
      <c r="H1" s="5"/>
      <c r="I1" s="6"/>
      <c r="J1" s="7"/>
      <c r="K1" s="7"/>
      <c r="L1" s="7"/>
      <c r="M1" s="7"/>
      <c r="N1" s="7"/>
      <c r="O1" s="7"/>
      <c r="P1" s="7"/>
      <c r="Q1" s="7"/>
      <c r="R1" s="7"/>
      <c r="S1" s="7"/>
      <c r="T1" s="7"/>
      <c r="U1" s="7"/>
      <c r="V1" s="7"/>
      <c r="W1" s="7"/>
    </row>
    <row r="2" spans="1:52" ht="14.4" customHeight="1" x14ac:dyDescent="0.25">
      <c r="A2" s="8" t="s">
        <v>4</v>
      </c>
      <c r="B2" s="9"/>
      <c r="C2" s="9"/>
      <c r="D2" s="9"/>
      <c r="E2" s="9"/>
      <c r="F2" s="9"/>
      <c r="G2" s="9"/>
      <c r="H2" s="9"/>
      <c r="I2" s="10"/>
      <c r="J2" s="7"/>
      <c r="K2" s="7"/>
      <c r="L2" s="7"/>
      <c r="M2" s="7"/>
      <c r="N2" s="7"/>
      <c r="O2" s="7"/>
      <c r="P2" s="7"/>
      <c r="Q2" s="7"/>
      <c r="R2" s="7"/>
      <c r="S2" s="7"/>
      <c r="T2" s="7"/>
      <c r="U2" s="7"/>
      <c r="V2" s="7"/>
      <c r="W2" s="7"/>
    </row>
    <row r="3" spans="1:52" ht="14.4" customHeight="1" x14ac:dyDescent="0.25">
      <c r="A3" s="11">
        <v>1.25</v>
      </c>
      <c r="B3" s="9"/>
      <c r="C3" s="9"/>
      <c r="D3" s="9"/>
      <c r="E3" s="9"/>
      <c r="F3" s="9"/>
      <c r="G3" s="9"/>
      <c r="H3" s="9"/>
      <c r="I3" s="10"/>
      <c r="J3" s="7"/>
      <c r="K3" s="7"/>
      <c r="L3" s="7"/>
      <c r="M3" s="7"/>
      <c r="N3" s="7"/>
      <c r="O3" s="7"/>
      <c r="P3" s="7"/>
      <c r="Q3" s="7"/>
      <c r="R3" s="7"/>
      <c r="S3" s="7"/>
      <c r="T3" s="7"/>
      <c r="U3" s="7"/>
      <c r="V3" s="7"/>
      <c r="W3" s="7"/>
    </row>
    <row r="4" spans="1:52" ht="14.4" customHeight="1" x14ac:dyDescent="0.25">
      <c r="A4" s="11"/>
      <c r="B4" s="9" t="s">
        <v>731</v>
      </c>
      <c r="C4" s="9"/>
      <c r="D4" s="9"/>
      <c r="E4" s="9"/>
      <c r="F4" s="9"/>
      <c r="G4" s="13"/>
      <c r="H4" s="13"/>
      <c r="I4" s="14"/>
      <c r="J4" s="7"/>
      <c r="K4" s="7"/>
      <c r="L4" s="7"/>
      <c r="M4" s="7"/>
      <c r="N4" s="7"/>
      <c r="O4" s="7"/>
      <c r="P4" s="7"/>
      <c r="Q4" s="7"/>
      <c r="R4" s="7"/>
      <c r="S4" s="7"/>
      <c r="T4" s="7"/>
      <c r="U4" s="7"/>
      <c r="V4" s="7"/>
      <c r="W4" s="7"/>
    </row>
    <row r="5" spans="1:52" ht="14.4" customHeight="1" x14ac:dyDescent="0.25">
      <c r="A5" s="11"/>
      <c r="B5" s="15" t="s">
        <v>732</v>
      </c>
      <c r="C5" s="9"/>
      <c r="D5" s="9"/>
      <c r="E5" s="9"/>
      <c r="F5" s="9"/>
      <c r="G5" s="13"/>
      <c r="H5" s="13"/>
      <c r="I5" s="14"/>
      <c r="J5" s="7"/>
      <c r="K5" s="7"/>
      <c r="L5" s="7"/>
      <c r="M5" s="7"/>
      <c r="N5" s="7"/>
      <c r="O5" s="7"/>
      <c r="P5" s="7"/>
      <c r="Q5" s="7"/>
      <c r="R5" s="7"/>
      <c r="S5" s="7"/>
      <c r="T5" s="7"/>
      <c r="U5" s="7"/>
      <c r="V5" s="7"/>
      <c r="W5" s="7"/>
    </row>
    <row r="6" spans="1:52" ht="14.4" customHeight="1" x14ac:dyDescent="0.25">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x14ac:dyDescent="0.25">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thickBot="1" x14ac:dyDescent="0.3">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t="s">
        <v>0</v>
      </c>
      <c r="C16" s="7" t="s">
        <v>737</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c r="C17" s="7" t="s">
        <v>738</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t="s">
        <v>739</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t="s">
        <v>1</v>
      </c>
      <c r="C19" s="7" t="s">
        <v>740</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65" priority="1" operator="equal">
      <formula>"Review Later"</formula>
    </cfRule>
    <cfRule type="cellIs" dxfId="64" priority="2" operator="equal">
      <formula>"Finished"</formula>
    </cfRule>
    <cfRule type="cellIs" dxfId="63" priority="3" operator="equal">
      <formula>"Incomplete"</formula>
    </cfRule>
  </conditionalFormatting>
  <pageMargins left="0.7" right="0.7" top="0.75" bottom="0.75" header="0.51180555555555496" footer="0.51180555555555496"/>
  <pageSetup firstPageNumber="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C205"/>
  <sheetViews>
    <sheetView zoomScaleNormal="100" workbookViewId="0"/>
  </sheetViews>
  <sheetFormatPr defaultColWidth="0" defaultRowHeight="0" customHeight="1" zeroHeight="1" x14ac:dyDescent="0.25"/>
  <cols>
    <col min="1" max="1" width="11.6640625" style="1" customWidth="1"/>
    <col min="2" max="2" width="14.6640625" style="1" customWidth="1"/>
    <col min="3" max="3" width="10.6640625" style="1" customWidth="1"/>
    <col min="4" max="4" width="14.6640625" style="1" bestFit="1" customWidth="1"/>
    <col min="5" max="5" width="13" style="1" bestFit="1" customWidth="1"/>
    <col min="6" max="6" width="12.109375" style="1" bestFit="1" customWidth="1"/>
    <col min="7" max="8" width="12.6640625" style="1" customWidth="1"/>
    <col min="9" max="52" width="10.6640625" style="1" customWidth="1"/>
    <col min="53" max="55" width="0" style="1" hidden="1" customWidth="1"/>
    <col min="56" max="16384" width="10.6640625" style="1" hidden="1"/>
  </cols>
  <sheetData>
    <row r="1" spans="1:52" ht="14.4" thickBot="1" x14ac:dyDescent="0.3">
      <c r="A1" s="3">
        <v>20</v>
      </c>
      <c r="B1" s="4"/>
      <c r="C1" s="5"/>
      <c r="D1" s="5"/>
      <c r="E1" s="5"/>
      <c r="F1" s="5"/>
      <c r="G1" s="5"/>
      <c r="H1" s="5"/>
      <c r="I1" s="6"/>
      <c r="J1" s="7"/>
      <c r="K1" s="7"/>
      <c r="L1" s="7"/>
      <c r="M1" s="7"/>
      <c r="N1" s="7"/>
      <c r="O1" s="7"/>
      <c r="P1" s="7"/>
      <c r="Q1" s="7"/>
      <c r="R1" s="7"/>
      <c r="S1" s="7"/>
      <c r="T1" s="7"/>
      <c r="U1" s="7"/>
      <c r="V1" s="7"/>
      <c r="W1" s="7"/>
    </row>
    <row r="2" spans="1:52" ht="14.4" customHeight="1" x14ac:dyDescent="0.25">
      <c r="A2" s="8" t="s">
        <v>4</v>
      </c>
      <c r="B2" s="9"/>
      <c r="C2" s="9"/>
      <c r="D2" s="9"/>
      <c r="E2" s="9"/>
      <c r="F2" s="9"/>
      <c r="G2" s="9"/>
      <c r="H2" s="9"/>
      <c r="I2" s="10"/>
      <c r="J2" s="7"/>
      <c r="K2" s="7"/>
      <c r="L2" s="7"/>
      <c r="M2" s="7"/>
      <c r="N2" s="7"/>
      <c r="O2" s="7"/>
      <c r="P2" s="7"/>
      <c r="Q2" s="7"/>
      <c r="R2" s="7"/>
      <c r="S2" s="7"/>
      <c r="T2" s="7"/>
      <c r="U2" s="7"/>
      <c r="V2" s="7"/>
      <c r="W2" s="7"/>
    </row>
    <row r="3" spans="1:52" ht="14.4" customHeight="1" x14ac:dyDescent="0.25">
      <c r="A3" s="11">
        <v>1.25</v>
      </c>
      <c r="B3" s="9"/>
      <c r="C3" s="9"/>
      <c r="D3" s="9"/>
      <c r="E3" s="9"/>
      <c r="F3" s="9"/>
      <c r="G3" s="9"/>
      <c r="H3" s="9"/>
      <c r="I3" s="10"/>
      <c r="J3" s="7"/>
      <c r="K3" s="7"/>
      <c r="L3" s="7"/>
      <c r="M3" s="7"/>
      <c r="N3" s="7"/>
      <c r="O3" s="7"/>
      <c r="P3" s="7"/>
      <c r="Q3" s="7"/>
      <c r="R3" s="7"/>
      <c r="S3" s="7"/>
      <c r="T3" s="7"/>
      <c r="U3" s="7"/>
      <c r="V3" s="7"/>
      <c r="W3" s="7"/>
    </row>
    <row r="4" spans="1:52" ht="14.4" customHeight="1" x14ac:dyDescent="0.25">
      <c r="A4" s="11"/>
      <c r="B4" s="9" t="s">
        <v>731</v>
      </c>
      <c r="C4" s="9"/>
      <c r="D4" s="9"/>
      <c r="E4" s="9"/>
      <c r="F4" s="9"/>
      <c r="G4" s="13"/>
      <c r="H4" s="13"/>
      <c r="I4" s="14"/>
      <c r="J4" s="7"/>
      <c r="K4" s="7"/>
      <c r="L4" s="7"/>
      <c r="M4" s="7"/>
      <c r="N4" s="7"/>
      <c r="O4" s="7"/>
      <c r="P4" s="7"/>
      <c r="Q4" s="7"/>
      <c r="R4" s="7"/>
      <c r="S4" s="7"/>
      <c r="T4" s="7"/>
      <c r="U4" s="7"/>
      <c r="V4" s="7"/>
      <c r="W4" s="7"/>
    </row>
    <row r="5" spans="1:52" ht="14.4" customHeight="1" x14ac:dyDescent="0.25">
      <c r="A5" s="11"/>
      <c r="B5" s="15" t="s">
        <v>732</v>
      </c>
      <c r="C5" s="9"/>
      <c r="D5" s="9"/>
      <c r="E5" s="9"/>
      <c r="F5" s="9"/>
      <c r="G5" s="13"/>
      <c r="H5" s="13"/>
      <c r="I5" s="14"/>
      <c r="J5" s="7"/>
      <c r="K5" s="7"/>
      <c r="L5" s="7"/>
      <c r="M5" s="7"/>
      <c r="N5" s="7"/>
      <c r="O5" s="7"/>
      <c r="P5" s="7"/>
      <c r="Q5" s="7"/>
      <c r="R5" s="7"/>
      <c r="S5" s="7"/>
      <c r="T5" s="7"/>
      <c r="U5" s="7"/>
      <c r="V5" s="7"/>
      <c r="W5" s="7"/>
    </row>
    <row r="6" spans="1:52" ht="14.4" customHeight="1" x14ac:dyDescent="0.25">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x14ac:dyDescent="0.25">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thickBot="1" x14ac:dyDescent="0.3">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t="s">
        <v>741</v>
      </c>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c r="B17" s="7" t="s">
        <v>742</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t="s">
        <v>743</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t="s">
        <v>744</v>
      </c>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t="s">
        <v>745</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t="s">
        <v>746</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t="s">
        <v>747</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t="s">
        <v>748</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t="s">
        <v>749</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c r="B26" s="7" t="s">
        <v>750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62" priority="1" operator="equal">
      <formula>"Review Later"</formula>
    </cfRule>
    <cfRule type="cellIs" dxfId="61" priority="2" operator="equal">
      <formula>"Finished"</formula>
    </cfRule>
    <cfRule type="cellIs" dxfId="60" priority="3" operator="equal">
      <formula>"Incomplete"</formula>
    </cfRule>
  </conditionalFormatting>
  <pageMargins left="0.7" right="0.7" top="0.75" bottom="0.75" header="0.51180555555555496" footer="0.51180555555555496"/>
  <pageSetup firstPageNumber="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C205"/>
  <sheetViews>
    <sheetView zoomScaleNormal="100" workbookViewId="0"/>
  </sheetViews>
  <sheetFormatPr defaultColWidth="0" defaultRowHeight="0" customHeight="1" zeroHeight="1" x14ac:dyDescent="0.25"/>
  <cols>
    <col min="1" max="1" width="11.6640625" style="1" customWidth="1"/>
    <col min="2" max="2" width="14.6640625" style="1" customWidth="1"/>
    <col min="3" max="3" width="10.6640625" style="1" customWidth="1"/>
    <col min="4" max="4" width="14.6640625" style="1" bestFit="1" customWidth="1"/>
    <col min="5" max="5" width="13" style="1" bestFit="1" customWidth="1"/>
    <col min="6" max="6" width="12.109375" style="1" bestFit="1" customWidth="1"/>
    <col min="7" max="8" width="12.6640625" style="1" customWidth="1"/>
    <col min="9" max="52" width="10.6640625" style="1" customWidth="1"/>
    <col min="53" max="55" width="0" style="1" hidden="1" customWidth="1"/>
    <col min="56" max="16384" width="10.6640625" style="1" hidden="1"/>
  </cols>
  <sheetData>
    <row r="1" spans="1:52" ht="14.4" thickBot="1" x14ac:dyDescent="0.3">
      <c r="A1" s="3">
        <v>20</v>
      </c>
      <c r="B1" s="4"/>
      <c r="C1" s="5"/>
      <c r="D1" s="5"/>
      <c r="E1" s="5"/>
      <c r="F1" s="5"/>
      <c r="G1" s="5"/>
      <c r="H1" s="5"/>
      <c r="I1" s="6"/>
      <c r="J1" s="7"/>
      <c r="K1" s="7"/>
      <c r="L1" s="7"/>
      <c r="M1" s="7"/>
      <c r="N1" s="7"/>
      <c r="O1" s="7"/>
      <c r="P1" s="7"/>
      <c r="Q1" s="7"/>
      <c r="R1" s="7"/>
      <c r="S1" s="7"/>
      <c r="T1" s="7"/>
      <c r="U1" s="7"/>
      <c r="V1" s="7"/>
      <c r="W1" s="7"/>
    </row>
    <row r="2" spans="1:52" ht="14.4" customHeight="1" x14ac:dyDescent="0.25">
      <c r="A2" s="8" t="s">
        <v>4</v>
      </c>
      <c r="B2" s="9"/>
      <c r="C2" s="9"/>
      <c r="D2" s="9"/>
      <c r="E2" s="9"/>
      <c r="F2" s="9"/>
      <c r="G2" s="9"/>
      <c r="H2" s="9"/>
      <c r="I2" s="10"/>
      <c r="J2" s="7"/>
      <c r="K2" s="7"/>
      <c r="L2" s="7"/>
      <c r="M2" s="7"/>
      <c r="N2" s="7"/>
      <c r="O2" s="7"/>
      <c r="P2" s="7"/>
      <c r="Q2" s="7"/>
      <c r="R2" s="7"/>
      <c r="S2" s="7"/>
      <c r="T2" s="7"/>
      <c r="U2" s="7"/>
      <c r="V2" s="7"/>
      <c r="W2" s="7"/>
    </row>
    <row r="3" spans="1:52" ht="14.4" customHeight="1" x14ac:dyDescent="0.25">
      <c r="A3" s="11">
        <v>1.25</v>
      </c>
      <c r="B3" s="9"/>
      <c r="C3" s="9"/>
      <c r="D3" s="9"/>
      <c r="E3" s="9"/>
      <c r="F3" s="9"/>
      <c r="G3" s="9"/>
      <c r="H3" s="9"/>
      <c r="I3" s="10"/>
      <c r="J3" s="7"/>
      <c r="K3" s="7"/>
      <c r="L3" s="7"/>
      <c r="M3" s="7"/>
      <c r="N3" s="7"/>
      <c r="O3" s="7"/>
      <c r="P3" s="7"/>
      <c r="Q3" s="7"/>
      <c r="R3" s="7"/>
      <c r="S3" s="7"/>
      <c r="T3" s="7"/>
      <c r="U3" s="7"/>
      <c r="V3" s="7"/>
      <c r="W3" s="7"/>
    </row>
    <row r="4" spans="1:52" ht="14.4" customHeight="1" x14ac:dyDescent="0.25">
      <c r="A4" s="11"/>
      <c r="B4" s="9" t="s">
        <v>731</v>
      </c>
      <c r="C4" s="9"/>
      <c r="D4" s="9"/>
      <c r="E4" s="9"/>
      <c r="F4" s="9"/>
      <c r="G4" s="13"/>
      <c r="H4" s="13"/>
      <c r="I4" s="14"/>
      <c r="J4" s="7"/>
      <c r="K4" s="7"/>
      <c r="L4" s="7"/>
      <c r="M4" s="7"/>
      <c r="N4" s="7"/>
      <c r="O4" s="7"/>
      <c r="P4" s="7"/>
      <c r="Q4" s="7"/>
      <c r="R4" s="7"/>
      <c r="S4" s="7"/>
      <c r="T4" s="7"/>
      <c r="U4" s="7"/>
      <c r="V4" s="7"/>
      <c r="W4" s="7"/>
    </row>
    <row r="5" spans="1:52" ht="14.4" customHeight="1" x14ac:dyDescent="0.25">
      <c r="A5" s="11"/>
      <c r="B5" s="15" t="s">
        <v>732</v>
      </c>
      <c r="C5" s="9"/>
      <c r="D5" s="9"/>
      <c r="E5" s="9"/>
      <c r="F5" s="9"/>
      <c r="G5" s="13"/>
      <c r="H5" s="13"/>
      <c r="I5" s="14"/>
      <c r="J5" s="7"/>
      <c r="K5" s="7"/>
      <c r="L5" s="7"/>
      <c r="M5" s="7"/>
      <c r="N5" s="7"/>
      <c r="O5" s="7"/>
      <c r="P5" s="7"/>
      <c r="Q5" s="7"/>
      <c r="R5" s="7"/>
      <c r="S5" s="7"/>
      <c r="T5" s="7"/>
      <c r="U5" s="7"/>
      <c r="V5" s="7"/>
      <c r="W5" s="7"/>
    </row>
    <row r="6" spans="1:52" ht="14.4" customHeight="1" x14ac:dyDescent="0.25">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 customHeight="1" x14ac:dyDescent="0.25">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 customHeight="1" x14ac:dyDescent="0.25">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 customHeight="1" x14ac:dyDescent="0.25">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 customHeight="1" x14ac:dyDescent="0.25">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 customHeight="1" x14ac:dyDescent="0.25">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 customHeight="1" x14ac:dyDescent="0.25">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 customHeight="1" x14ac:dyDescent="0.25">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 customHeight="1" thickBot="1" x14ac:dyDescent="0.3">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 customHeight="1" x14ac:dyDescent="0.2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 customHeight="1"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 customHeight="1" x14ac:dyDescent="0.25">
      <c r="A17" s="7" t="s">
        <v>280</v>
      </c>
      <c r="B17" s="7" t="s">
        <v>751</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 customHeight="1" x14ac:dyDescent="0.25">
      <c r="A19" s="7"/>
      <c r="B19" s="7" t="s">
        <v>16</v>
      </c>
      <c r="C19" s="7" t="s">
        <v>752</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 customHeight="1" x14ac:dyDescent="0.25">
      <c r="A20" s="7"/>
      <c r="B20" s="7"/>
      <c r="C20" s="7" t="s">
        <v>753</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 customHeight="1" x14ac:dyDescent="0.25">
      <c r="A21" s="7"/>
      <c r="B21" s="7"/>
      <c r="C21" s="7" t="s">
        <v>754</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 customHeight="1" x14ac:dyDescent="0.25">
      <c r="A23" s="7"/>
      <c r="B23" s="7" t="s">
        <v>18</v>
      </c>
      <c r="C23" s="7" t="s">
        <v>755</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 customHeight="1" x14ac:dyDescent="0.25">
      <c r="A24" s="7"/>
      <c r="B24" s="7"/>
      <c r="C24" s="7" t="s">
        <v>756</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 customHeight="1" x14ac:dyDescent="0.25">
      <c r="A26" s="7" t="s">
        <v>298</v>
      </c>
      <c r="B26" s="7" t="s">
        <v>757</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 customHeight="1" x14ac:dyDescent="0.25">
      <c r="A27" s="7"/>
      <c r="B27" s="7" t="s">
        <v>758</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59" priority="1" operator="equal">
      <formula>"Review Later"</formula>
    </cfRule>
    <cfRule type="cellIs" dxfId="58" priority="2" operator="equal">
      <formula>"Finished"</formula>
    </cfRule>
    <cfRule type="cellIs" dxfId="57" priority="3" operator="equal">
      <formula>"Incomplete"</formula>
    </cfRule>
  </conditionalFormatting>
  <pageMargins left="0.7" right="0.7" top="0.75" bottom="0.75" header="0.51180555555555496" footer="0.51180555555555496"/>
  <pageSetup firstPageNumber="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C275"/>
  <sheetViews>
    <sheetView zoomScaleNormal="100" zoomScalePageLayoutView="70" workbookViewId="0"/>
  </sheetViews>
  <sheetFormatPr defaultColWidth="0" defaultRowHeight="0" customHeight="1" zeroHeight="1" x14ac:dyDescent="0.25"/>
  <cols>
    <col min="1" max="1" width="11.6640625" style="1" customWidth="1"/>
    <col min="2" max="2" width="15.44140625" style="1" customWidth="1"/>
    <col min="3" max="6" width="12.44140625" style="1" customWidth="1"/>
    <col min="7" max="7" width="11.109375" style="1" customWidth="1"/>
    <col min="8" max="8" width="10.6640625" style="1" customWidth="1"/>
    <col min="9" max="9" width="12.44140625" style="1" customWidth="1"/>
    <col min="10" max="12" width="12.44140625" style="21" customWidth="1"/>
    <col min="13" max="13" width="10.6640625" style="21" customWidth="1"/>
    <col min="14" max="17" width="10.6640625" style="1" customWidth="1"/>
    <col min="18" max="18" width="16.6640625" style="1" bestFit="1" customWidth="1"/>
    <col min="19" max="52" width="10.6640625" style="1" customWidth="1"/>
    <col min="53" max="55" width="0" style="1" hidden="1" customWidth="1"/>
    <col min="56" max="16384" width="10.6640625" style="1" hidden="1"/>
  </cols>
  <sheetData>
    <row r="1" spans="1:52" ht="14.85" customHeight="1" thickBot="1" x14ac:dyDescent="0.3">
      <c r="A1" s="3">
        <v>21</v>
      </c>
      <c r="B1" s="4"/>
      <c r="C1" s="5"/>
      <c r="D1" s="5"/>
      <c r="E1" s="5"/>
      <c r="F1" s="5"/>
      <c r="G1" s="5"/>
      <c r="H1" s="5"/>
      <c r="I1" s="5"/>
      <c r="J1" s="5"/>
      <c r="K1" s="5"/>
      <c r="L1" s="5"/>
      <c r="M1" s="5"/>
      <c r="N1" s="5"/>
      <c r="O1" s="6"/>
      <c r="P1" s="7"/>
      <c r="Q1" s="7"/>
      <c r="R1" s="7"/>
      <c r="S1" s="7"/>
      <c r="T1" s="7"/>
      <c r="U1" s="7"/>
      <c r="V1" s="7"/>
      <c r="W1" s="7"/>
    </row>
    <row r="2" spans="1:52" ht="14.85" customHeight="1" x14ac:dyDescent="0.25">
      <c r="A2" s="8" t="s">
        <v>4</v>
      </c>
      <c r="B2" s="9"/>
      <c r="C2" s="9"/>
      <c r="D2" s="9"/>
      <c r="E2" s="9"/>
      <c r="F2" s="9"/>
      <c r="G2" s="9"/>
      <c r="H2" s="9"/>
      <c r="I2" s="9"/>
      <c r="J2" s="9"/>
      <c r="K2" s="9"/>
      <c r="L2" s="9"/>
      <c r="M2" s="9"/>
      <c r="N2" s="9"/>
      <c r="O2" s="10"/>
      <c r="P2" s="7"/>
      <c r="Q2" s="7"/>
      <c r="R2" s="7"/>
      <c r="S2" s="7"/>
      <c r="T2" s="7"/>
      <c r="U2" s="7"/>
      <c r="V2" s="7"/>
      <c r="W2" s="7"/>
    </row>
    <row r="3" spans="1:52" ht="14.85" customHeight="1" x14ac:dyDescent="0.25">
      <c r="A3" s="11">
        <v>2.5</v>
      </c>
      <c r="B3" s="9"/>
      <c r="C3" s="9"/>
      <c r="D3" s="9"/>
      <c r="E3" s="9"/>
      <c r="F3" s="9"/>
      <c r="G3" s="9"/>
      <c r="H3" s="9"/>
      <c r="I3" s="9"/>
      <c r="J3" s="9"/>
      <c r="K3" s="9"/>
      <c r="L3" s="9"/>
      <c r="M3" s="9"/>
      <c r="N3" s="9"/>
      <c r="O3" s="10"/>
      <c r="P3" s="7"/>
      <c r="Q3" s="7"/>
      <c r="R3" s="7"/>
      <c r="S3" s="7"/>
      <c r="T3" s="7"/>
      <c r="U3" s="7"/>
      <c r="V3" s="7"/>
      <c r="W3" s="7"/>
    </row>
    <row r="4" spans="1:52" ht="14.85" customHeight="1" x14ac:dyDescent="0.25">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x14ac:dyDescent="0.3">
      <c r="A5" s="570"/>
      <c r="B5" s="15"/>
      <c r="C5" s="25"/>
      <c r="D5" s="25"/>
      <c r="E5" s="25"/>
      <c r="F5" s="25"/>
      <c r="G5" s="25"/>
      <c r="H5" s="25"/>
      <c r="I5" s="25"/>
      <c r="J5" s="25"/>
      <c r="K5" s="25"/>
      <c r="L5" s="25"/>
      <c r="M5" s="25"/>
      <c r="N5" s="25"/>
      <c r="O5" s="26"/>
      <c r="P5" s="7"/>
      <c r="Q5" s="7"/>
      <c r="R5" s="7"/>
      <c r="S5" s="7"/>
      <c r="T5" s="7"/>
      <c r="U5" s="7"/>
      <c r="V5" s="7"/>
      <c r="W5" s="7"/>
    </row>
    <row r="6" spans="1:52" ht="14.4" customHeight="1" x14ac:dyDescent="0.25">
      <c r="A6" s="570"/>
      <c r="B6" s="571" t="s">
        <v>117</v>
      </c>
      <c r="C6" s="572" t="s">
        <v>759</v>
      </c>
      <c r="D6" s="572"/>
      <c r="E6" s="572"/>
      <c r="F6" s="573"/>
      <c r="G6" s="25"/>
      <c r="H6" s="571" t="s">
        <v>117</v>
      </c>
      <c r="I6" s="572" t="s">
        <v>760</v>
      </c>
      <c r="J6" s="572"/>
      <c r="K6" s="572"/>
      <c r="L6" s="573"/>
      <c r="M6" s="25"/>
      <c r="N6" s="25"/>
      <c r="O6" s="26"/>
      <c r="P6" s="7"/>
      <c r="Q6" s="7" t="s">
        <v>761</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x14ac:dyDescent="0.3">
      <c r="A7" s="570"/>
      <c r="B7" s="574" t="s">
        <v>94</v>
      </c>
      <c r="C7" s="575">
        <v>12</v>
      </c>
      <c r="D7" s="575">
        <v>24</v>
      </c>
      <c r="E7" s="575">
        <v>36</v>
      </c>
      <c r="F7" s="576">
        <v>48</v>
      </c>
      <c r="G7" s="25"/>
      <c r="H7" s="574" t="s">
        <v>94</v>
      </c>
      <c r="I7" s="575">
        <v>12</v>
      </c>
      <c r="J7" s="575">
        <v>24</v>
      </c>
      <c r="K7" s="575">
        <v>36</v>
      </c>
      <c r="L7" s="576">
        <v>48</v>
      </c>
      <c r="M7" s="25"/>
      <c r="N7" s="25"/>
      <c r="O7" s="26"/>
      <c r="P7" s="7"/>
      <c r="Q7" s="574" t="s">
        <v>94</v>
      </c>
      <c r="R7" s="575">
        <v>12</v>
      </c>
      <c r="S7" s="575">
        <v>24</v>
      </c>
      <c r="T7" s="575">
        <v>36</v>
      </c>
      <c r="U7" s="576">
        <v>48</v>
      </c>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570"/>
      <c r="B8" s="577">
        <v>2013</v>
      </c>
      <c r="C8" s="578">
        <v>150000</v>
      </c>
      <c r="D8" s="579">
        <v>450000</v>
      </c>
      <c r="E8" s="579">
        <v>550000</v>
      </c>
      <c r="F8" s="580">
        <v>620000</v>
      </c>
      <c r="G8" s="25"/>
      <c r="H8" s="577">
        <v>2013</v>
      </c>
      <c r="I8" s="578">
        <v>300</v>
      </c>
      <c r="J8" s="579">
        <v>320</v>
      </c>
      <c r="K8" s="579">
        <v>290</v>
      </c>
      <c r="L8" s="580">
        <v>310</v>
      </c>
      <c r="M8" s="25"/>
      <c r="N8" s="25"/>
      <c r="O8" s="26"/>
      <c r="P8" s="7"/>
      <c r="Q8" s="577">
        <v>2013</v>
      </c>
      <c r="R8" s="7">
        <f>R9/(1+$B$40)</f>
        <v>320.30111151603489</v>
      </c>
      <c r="S8" s="7">
        <f>S9/(1+$B$40)</f>
        <v>318.87755102040808</v>
      </c>
      <c r="T8" s="7">
        <f>T9/(1+$B$40)</f>
        <v>312.49999999999994</v>
      </c>
      <c r="U8" s="581">
        <f>L8</f>
        <v>310</v>
      </c>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570"/>
      <c r="B9" s="582">
        <v>2014</v>
      </c>
      <c r="C9" s="583">
        <v>170000</v>
      </c>
      <c r="D9" s="584">
        <v>480000</v>
      </c>
      <c r="E9" s="584">
        <v>560000</v>
      </c>
      <c r="F9" s="585">
        <v>590000</v>
      </c>
      <c r="G9" s="25"/>
      <c r="H9" s="582">
        <v>2014</v>
      </c>
      <c r="I9" s="583">
        <v>320</v>
      </c>
      <c r="J9" s="584">
        <v>310</v>
      </c>
      <c r="K9" s="584">
        <v>350</v>
      </c>
      <c r="L9" s="585">
        <v>200</v>
      </c>
      <c r="M9" s="25"/>
      <c r="N9" s="25"/>
      <c r="O9" s="26"/>
      <c r="P9" s="7"/>
      <c r="Q9" s="582">
        <v>2014</v>
      </c>
      <c r="R9" s="7">
        <f>R10/(1+$B$40)</f>
        <v>358.7372448979591</v>
      </c>
      <c r="S9" s="7">
        <f>S10/(1+$B$40)</f>
        <v>357.14285714285711</v>
      </c>
      <c r="T9" s="581">
        <f>K9</f>
        <v>350</v>
      </c>
      <c r="U9" s="7">
        <f>U8*(1+$B$40)</f>
        <v>347.20000000000005</v>
      </c>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570"/>
      <c r="B10" s="582">
        <v>2015</v>
      </c>
      <c r="C10" s="583">
        <v>160000</v>
      </c>
      <c r="D10" s="584">
        <v>470000</v>
      </c>
      <c r="E10" s="584">
        <v>510000</v>
      </c>
      <c r="F10" s="585"/>
      <c r="G10" s="25"/>
      <c r="H10" s="582">
        <v>2015</v>
      </c>
      <c r="I10" s="583">
        <v>310</v>
      </c>
      <c r="J10" s="584">
        <v>400</v>
      </c>
      <c r="K10" s="584">
        <v>250</v>
      </c>
      <c r="L10" s="585"/>
      <c r="M10" s="25"/>
      <c r="N10" s="25"/>
      <c r="O10" s="26"/>
      <c r="P10" s="7"/>
      <c r="Q10" s="582">
        <v>2015</v>
      </c>
      <c r="R10" s="7">
        <f>R11/(1+$B$40)</f>
        <v>401.78571428571422</v>
      </c>
      <c r="S10" s="581">
        <f>J10</f>
        <v>400</v>
      </c>
      <c r="T10" s="7">
        <f>T9*(1+$B$40)</f>
        <v>392.00000000000006</v>
      </c>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570"/>
      <c r="B11" s="582">
        <v>2016</v>
      </c>
      <c r="C11" s="583">
        <v>180000</v>
      </c>
      <c r="D11" s="584">
        <v>270000</v>
      </c>
      <c r="E11" s="584"/>
      <c r="F11" s="585"/>
      <c r="G11" s="25"/>
      <c r="H11" s="582">
        <v>2016</v>
      </c>
      <c r="I11" s="583">
        <v>450</v>
      </c>
      <c r="J11" s="584">
        <v>190</v>
      </c>
      <c r="K11" s="584"/>
      <c r="L11" s="585"/>
      <c r="M11" s="586"/>
      <c r="N11" s="586"/>
      <c r="O11" s="587"/>
      <c r="P11" s="7"/>
      <c r="Q11" s="582">
        <v>2016</v>
      </c>
      <c r="R11" s="581">
        <f>I11</f>
        <v>450</v>
      </c>
      <c r="S11" s="7">
        <f>S10*(1+$B$40)</f>
        <v>448.00000000000006</v>
      </c>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570"/>
      <c r="B12" s="588">
        <v>2017</v>
      </c>
      <c r="C12" s="589">
        <v>90000</v>
      </c>
      <c r="D12" s="590"/>
      <c r="E12" s="590"/>
      <c r="F12" s="591"/>
      <c r="G12" s="25"/>
      <c r="H12" s="588">
        <v>2017</v>
      </c>
      <c r="I12" s="589">
        <v>120</v>
      </c>
      <c r="J12" s="590"/>
      <c r="K12" s="590"/>
      <c r="L12" s="591"/>
      <c r="M12" s="586"/>
      <c r="N12" s="586"/>
      <c r="O12" s="587"/>
      <c r="P12" s="7"/>
      <c r="Q12" s="588">
        <v>2017</v>
      </c>
      <c r="R12" s="7">
        <f>R11*(1+$B$40)</f>
        <v>504.00000000000006</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x14ac:dyDescent="0.25">
      <c r="A14" s="570"/>
      <c r="B14" s="571" t="s">
        <v>117</v>
      </c>
      <c r="C14" s="572" t="s">
        <v>762</v>
      </c>
      <c r="D14" s="572"/>
      <c r="E14" s="572"/>
      <c r="F14" s="573"/>
      <c r="G14" s="25"/>
      <c r="H14" s="571" t="s">
        <v>117</v>
      </c>
      <c r="I14" s="572" t="s">
        <v>763</v>
      </c>
      <c r="J14" s="572"/>
      <c r="K14" s="572"/>
      <c r="L14" s="573"/>
      <c r="M14" s="586"/>
      <c r="N14" s="586"/>
      <c r="O14" s="587"/>
      <c r="P14" s="7"/>
      <c r="Q14" s="7" t="s">
        <v>764</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x14ac:dyDescent="0.3">
      <c r="A15" s="570"/>
      <c r="B15" s="574" t="s">
        <v>94</v>
      </c>
      <c r="C15" s="575">
        <v>12</v>
      </c>
      <c r="D15" s="575">
        <v>24</v>
      </c>
      <c r="E15" s="575">
        <v>36</v>
      </c>
      <c r="F15" s="576">
        <v>48</v>
      </c>
      <c r="G15" s="25"/>
      <c r="H15" s="574" t="s">
        <v>94</v>
      </c>
      <c r="I15" s="575">
        <v>12</v>
      </c>
      <c r="J15" s="575">
        <v>24</v>
      </c>
      <c r="K15" s="575">
        <v>36</v>
      </c>
      <c r="L15" s="576">
        <v>48</v>
      </c>
      <c r="M15" s="586"/>
      <c r="N15" s="586"/>
      <c r="O15" s="587"/>
      <c r="P15" s="7"/>
      <c r="Q15" s="574" t="s">
        <v>94</v>
      </c>
      <c r="R15" s="575">
        <v>12</v>
      </c>
      <c r="S15" s="575">
        <v>24</v>
      </c>
      <c r="T15" s="575">
        <v>36</v>
      </c>
      <c r="U15" s="576">
        <v>48</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c r="Q16" s="577">
        <v>2013</v>
      </c>
      <c r="R16" s="7">
        <f t="shared" ref="R16:U17" si="0">I16/$I25</f>
        <v>0.68</v>
      </c>
      <c r="S16" s="7">
        <f t="shared" si="0"/>
        <v>0.77000000000000013</v>
      </c>
      <c r="T16" s="7">
        <f t="shared" si="0"/>
        <v>0.85</v>
      </c>
      <c r="U16" s="7">
        <f t="shared" si="0"/>
        <v>0.95</v>
      </c>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582">
        <v>2014</v>
      </c>
      <c r="R17" s="7">
        <f t="shared" si="0"/>
        <v>0.68</v>
      </c>
      <c r="S17" s="7">
        <f t="shared" si="0"/>
        <v>0.77</v>
      </c>
      <c r="T17" s="7">
        <f t="shared" si="0"/>
        <v>0.85</v>
      </c>
      <c r="U17" s="7">
        <f t="shared" si="0"/>
        <v>0.9</v>
      </c>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c r="Q18" s="582">
        <v>2015</v>
      </c>
      <c r="R18" s="7">
        <f>I18/$I27</f>
        <v>0.68000000000000016</v>
      </c>
      <c r="S18" s="7">
        <f>J18/$I27</f>
        <v>0.77</v>
      </c>
      <c r="T18" s="7">
        <f>K18/$I27</f>
        <v>0.8</v>
      </c>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c r="Q19" s="582">
        <v>2016</v>
      </c>
      <c r="R19" s="7">
        <f>I19/$I28</f>
        <v>0.68</v>
      </c>
      <c r="S19" s="7">
        <f>J19/$I28</f>
        <v>0.71</v>
      </c>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x14ac:dyDescent="0.3">
      <c r="A20" s="570"/>
      <c r="B20" s="588">
        <v>2017</v>
      </c>
      <c r="C20" s="589">
        <v>810</v>
      </c>
      <c r="D20" s="590"/>
      <c r="E20" s="590"/>
      <c r="F20" s="591"/>
      <c r="G20" s="25"/>
      <c r="H20" s="588">
        <v>2017</v>
      </c>
      <c r="I20" s="589">
        <v>540</v>
      </c>
      <c r="J20" s="590"/>
      <c r="K20" s="590"/>
      <c r="L20" s="591"/>
      <c r="M20" s="586"/>
      <c r="N20" s="586"/>
      <c r="O20" s="587"/>
      <c r="P20" s="7"/>
      <c r="Q20" s="588">
        <v>2017</v>
      </c>
      <c r="R20" s="7">
        <f>I20/$I29</f>
        <v>0.33750000000000002</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570"/>
      <c r="B21" s="592"/>
      <c r="C21" s="584"/>
      <c r="D21" s="584"/>
      <c r="E21" s="584"/>
      <c r="F21" s="584"/>
      <c r="G21" s="25"/>
      <c r="H21" s="586"/>
      <c r="I21" s="586"/>
      <c r="J21" s="586"/>
      <c r="K21" s="586"/>
      <c r="L21" s="586"/>
      <c r="M21" s="586"/>
      <c r="N21" s="586"/>
      <c r="O21" s="58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x14ac:dyDescent="0.3">
      <c r="A22" s="570"/>
      <c r="B22" s="592"/>
      <c r="C22" s="592"/>
      <c r="D22" s="592"/>
      <c r="E22" s="592"/>
      <c r="F22" s="592"/>
      <c r="G22" s="592"/>
      <c r="H22" s="571"/>
      <c r="I22" s="593" t="s">
        <v>675</v>
      </c>
      <c r="J22" s="586"/>
      <c r="K22" s="586"/>
      <c r="L22" s="586"/>
      <c r="M22" s="586"/>
      <c r="N22" s="586"/>
      <c r="O22" s="587"/>
      <c r="P22" s="7"/>
      <c r="Q22" s="7" t="s">
        <v>765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thickBot="1" x14ac:dyDescent="0.3">
      <c r="A23" s="570"/>
      <c r="B23" s="571" t="s">
        <v>117</v>
      </c>
      <c r="C23" s="572" t="s">
        <v>766</v>
      </c>
      <c r="D23" s="572"/>
      <c r="E23" s="572"/>
      <c r="F23" s="573"/>
      <c r="G23" s="592"/>
      <c r="H23" s="594" t="s">
        <v>117</v>
      </c>
      <c r="I23" s="595" t="s">
        <v>767</v>
      </c>
      <c r="J23" s="586"/>
      <c r="K23" s="586"/>
      <c r="L23" s="586"/>
      <c r="M23" s="586"/>
      <c r="N23" s="586"/>
      <c r="O23" s="587"/>
      <c r="P23" s="7"/>
      <c r="Q23" s="574" t="s">
        <v>94</v>
      </c>
      <c r="R23" s="575">
        <v>12</v>
      </c>
      <c r="S23" s="575">
        <v>24</v>
      </c>
      <c r="T23" s="575">
        <v>36</v>
      </c>
      <c r="U23" s="576">
        <v>48</v>
      </c>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x14ac:dyDescent="0.3">
      <c r="A24" s="570"/>
      <c r="B24" s="574" t="s">
        <v>94</v>
      </c>
      <c r="C24" s="575">
        <v>12</v>
      </c>
      <c r="D24" s="575">
        <v>24</v>
      </c>
      <c r="E24" s="575">
        <v>36</v>
      </c>
      <c r="F24" s="576">
        <v>48</v>
      </c>
      <c r="G24" s="592"/>
      <c r="H24" s="574" t="s">
        <v>94</v>
      </c>
      <c r="I24" s="596" t="s">
        <v>768</v>
      </c>
      <c r="J24" s="586"/>
      <c r="K24" s="586"/>
      <c r="L24" s="586"/>
      <c r="M24" s="586"/>
      <c r="N24" s="586"/>
      <c r="O24" s="587"/>
      <c r="P24" s="7"/>
      <c r="Q24" s="577">
        <v>2013</v>
      </c>
      <c r="R24" s="581">
        <f>I16</f>
        <v>1006.4000000000001</v>
      </c>
      <c r="S24" s="581">
        <f>J16</f>
        <v>1139.6000000000001</v>
      </c>
      <c r="T24" s="581">
        <f>K16</f>
        <v>1258</v>
      </c>
      <c r="U24" s="581">
        <f>L16</f>
        <v>1406</v>
      </c>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570"/>
      <c r="B25" s="577">
        <v>2013</v>
      </c>
      <c r="C25" s="578">
        <v>1200</v>
      </c>
      <c r="D25" s="579">
        <v>1350</v>
      </c>
      <c r="E25" s="579">
        <v>1400</v>
      </c>
      <c r="F25" s="580">
        <v>1450</v>
      </c>
      <c r="G25" s="592"/>
      <c r="H25" s="577">
        <v>2013</v>
      </c>
      <c r="I25" s="597">
        <v>1480</v>
      </c>
      <c r="J25" s="586"/>
      <c r="K25" s="586"/>
      <c r="L25" s="586"/>
      <c r="M25" s="586"/>
      <c r="N25" s="586"/>
      <c r="O25" s="587"/>
      <c r="P25" s="7"/>
      <c r="Q25" s="582">
        <v>2014</v>
      </c>
      <c r="R25" s="581">
        <f>I17</f>
        <v>1020.0000000000001</v>
      </c>
      <c r="S25" s="581">
        <f>J17</f>
        <v>1155</v>
      </c>
      <c r="T25" s="581">
        <f>K17</f>
        <v>1275</v>
      </c>
      <c r="U25" s="7">
        <f>I26*U16</f>
        <v>1425</v>
      </c>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570"/>
      <c r="B26" s="582">
        <v>2014</v>
      </c>
      <c r="C26" s="583">
        <v>1258</v>
      </c>
      <c r="D26" s="584">
        <v>1380</v>
      </c>
      <c r="E26" s="584">
        <v>1420</v>
      </c>
      <c r="F26" s="585">
        <v>1460</v>
      </c>
      <c r="G26" s="592"/>
      <c r="H26" s="582">
        <v>2014</v>
      </c>
      <c r="I26" s="598">
        <v>1500</v>
      </c>
      <c r="J26" s="586"/>
      <c r="K26" s="586"/>
      <c r="L26" s="586"/>
      <c r="M26" s="586"/>
      <c r="N26" s="586"/>
      <c r="O26" s="587"/>
      <c r="P26" s="7"/>
      <c r="Q26" s="582">
        <v>2015</v>
      </c>
      <c r="R26" s="581">
        <f>I18</f>
        <v>1026.8000000000002</v>
      </c>
      <c r="S26" s="581">
        <f>J18</f>
        <v>1162.7</v>
      </c>
      <c r="T26" s="7">
        <f>T17*I27</f>
        <v>1283.5</v>
      </c>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570"/>
      <c r="B27" s="582">
        <v>2015</v>
      </c>
      <c r="C27" s="583">
        <v>1249.5</v>
      </c>
      <c r="D27" s="584">
        <v>1370</v>
      </c>
      <c r="E27" s="584">
        <v>1400</v>
      </c>
      <c r="F27" s="585"/>
      <c r="G27" s="592"/>
      <c r="H27" s="582">
        <v>2015</v>
      </c>
      <c r="I27" s="598">
        <v>1510</v>
      </c>
      <c r="J27" s="586"/>
      <c r="K27" s="586"/>
      <c r="L27" s="586"/>
      <c r="M27" s="586"/>
      <c r="N27" s="586"/>
      <c r="O27" s="587"/>
      <c r="P27" s="7"/>
      <c r="Q27" s="582">
        <v>2016</v>
      </c>
      <c r="R27" s="581">
        <f>I19</f>
        <v>1040.4000000000001</v>
      </c>
      <c r="S27" s="7">
        <f>S18*I28</f>
        <v>1178.1000000000001</v>
      </c>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thickBot="1" x14ac:dyDescent="0.3">
      <c r="A28" s="570"/>
      <c r="B28" s="582">
        <v>2016</v>
      </c>
      <c r="C28" s="583">
        <v>1300</v>
      </c>
      <c r="D28" s="584">
        <v>1350</v>
      </c>
      <c r="E28" s="584"/>
      <c r="F28" s="585"/>
      <c r="G28" s="592"/>
      <c r="H28" s="582">
        <v>2016</v>
      </c>
      <c r="I28" s="598">
        <v>1530</v>
      </c>
      <c r="J28" s="586"/>
      <c r="K28" s="586"/>
      <c r="L28" s="586"/>
      <c r="M28" s="586"/>
      <c r="N28" s="586"/>
      <c r="O28" s="587"/>
      <c r="P28" s="7"/>
      <c r="Q28" s="588">
        <v>2017</v>
      </c>
      <c r="R28" s="7">
        <f>R19*I29</f>
        <v>1088</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x14ac:dyDescent="0.3">
      <c r="A29" s="570"/>
      <c r="B29" s="588">
        <v>2017</v>
      </c>
      <c r="C29" s="589">
        <v>1350</v>
      </c>
      <c r="D29" s="590"/>
      <c r="E29" s="590"/>
      <c r="F29" s="591"/>
      <c r="G29" s="592"/>
      <c r="H29" s="588">
        <v>2017</v>
      </c>
      <c r="I29" s="599">
        <v>1600</v>
      </c>
      <c r="J29" s="586"/>
      <c r="K29" s="586"/>
      <c r="L29" s="586"/>
      <c r="M29" s="586"/>
      <c r="N29" s="586"/>
      <c r="O29" s="58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x14ac:dyDescent="0.3">
      <c r="A30" s="570"/>
      <c r="B30" s="592"/>
      <c r="C30" s="584"/>
      <c r="D30" s="584"/>
      <c r="E30" s="584"/>
      <c r="F30" s="584"/>
      <c r="G30" s="592"/>
      <c r="H30" s="586"/>
      <c r="I30" s="586"/>
      <c r="J30" s="586"/>
      <c r="K30" s="586"/>
      <c r="L30" s="586"/>
      <c r="M30" s="586"/>
      <c r="N30" s="586"/>
      <c r="O30" s="587"/>
      <c r="P30" s="7"/>
      <c r="Q30" s="7" t="s">
        <v>769</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thickBot="1" x14ac:dyDescent="0.3">
      <c r="A31" s="570"/>
      <c r="B31" s="571"/>
      <c r="C31" s="572" t="s">
        <v>770</v>
      </c>
      <c r="D31" s="572"/>
      <c r="E31" s="572"/>
      <c r="F31" s="573"/>
      <c r="G31" s="592"/>
      <c r="H31" s="586"/>
      <c r="I31" s="586"/>
      <c r="J31" s="586"/>
      <c r="K31" s="586"/>
      <c r="L31" s="586"/>
      <c r="M31" s="586"/>
      <c r="N31" s="586"/>
      <c r="O31" s="587"/>
      <c r="P31" s="7"/>
      <c r="Q31" s="574" t="s">
        <v>94</v>
      </c>
      <c r="R31" s="575">
        <v>12</v>
      </c>
      <c r="S31" s="575">
        <v>24</v>
      </c>
      <c r="T31" s="575">
        <v>36</v>
      </c>
      <c r="U31" s="576">
        <v>48</v>
      </c>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570"/>
      <c r="B32" s="594" t="s">
        <v>117</v>
      </c>
      <c r="C32" s="600" t="s">
        <v>771</v>
      </c>
      <c r="D32" s="600"/>
      <c r="E32" s="600"/>
      <c r="F32" s="601"/>
      <c r="G32" s="592"/>
      <c r="H32" s="586"/>
      <c r="I32" s="586"/>
      <c r="J32" s="586"/>
      <c r="K32" s="586"/>
      <c r="L32" s="586"/>
      <c r="M32" s="586"/>
      <c r="N32" s="586"/>
      <c r="O32" s="587"/>
      <c r="P32" s="7"/>
      <c r="Q32" s="577">
        <v>2013</v>
      </c>
      <c r="R32" s="581">
        <f t="shared" ref="R32:U33" si="1">C25-R24</f>
        <v>193.59999999999991</v>
      </c>
      <c r="S32" s="581">
        <f t="shared" si="1"/>
        <v>210.39999999999986</v>
      </c>
      <c r="T32" s="581">
        <f t="shared" si="1"/>
        <v>142</v>
      </c>
      <c r="U32" s="581">
        <f t="shared" si="1"/>
        <v>44</v>
      </c>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x14ac:dyDescent="0.3">
      <c r="A33" s="570"/>
      <c r="B33" s="574" t="s">
        <v>94</v>
      </c>
      <c r="C33" s="575">
        <v>12</v>
      </c>
      <c r="D33" s="575">
        <v>24</v>
      </c>
      <c r="E33" s="575">
        <v>36</v>
      </c>
      <c r="F33" s="576">
        <v>48</v>
      </c>
      <c r="G33" s="602"/>
      <c r="H33" s="586"/>
      <c r="I33" s="586"/>
      <c r="J33" s="586"/>
      <c r="K33" s="586"/>
      <c r="L33" s="586"/>
      <c r="M33" s="586"/>
      <c r="N33" s="586"/>
      <c r="O33" s="587"/>
      <c r="P33" s="7"/>
      <c r="Q33" s="582">
        <v>2014</v>
      </c>
      <c r="R33" s="581">
        <f t="shared" si="1"/>
        <v>237.99999999999989</v>
      </c>
      <c r="S33" s="581">
        <f t="shared" si="1"/>
        <v>225</v>
      </c>
      <c r="T33" s="581">
        <f t="shared" si="1"/>
        <v>145</v>
      </c>
      <c r="U33" s="581">
        <f t="shared" si="1"/>
        <v>35</v>
      </c>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570"/>
      <c r="B34" s="577">
        <v>2013</v>
      </c>
      <c r="C34" s="578">
        <v>150000</v>
      </c>
      <c r="D34" s="579">
        <v>450000</v>
      </c>
      <c r="E34" s="579">
        <v>550000</v>
      </c>
      <c r="F34" s="580">
        <v>620000</v>
      </c>
      <c r="G34" s="602"/>
      <c r="H34" s="586"/>
      <c r="I34" s="586"/>
      <c r="J34" s="586"/>
      <c r="K34" s="586"/>
      <c r="L34" s="586"/>
      <c r="M34" s="586"/>
      <c r="N34" s="586"/>
      <c r="O34" s="587"/>
      <c r="P34" s="7"/>
      <c r="Q34" s="582">
        <v>2015</v>
      </c>
      <c r="R34" s="581">
        <f>C27-R26</f>
        <v>222.69999999999982</v>
      </c>
      <c r="S34" s="581">
        <f>D27-S26</f>
        <v>207.29999999999995</v>
      </c>
      <c r="T34" s="581">
        <f>E27-T26</f>
        <v>116.5</v>
      </c>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570"/>
      <c r="B35" s="582">
        <v>2014</v>
      </c>
      <c r="C35" s="583">
        <v>170000</v>
      </c>
      <c r="D35" s="584">
        <v>480000</v>
      </c>
      <c r="E35" s="584">
        <v>560000</v>
      </c>
      <c r="F35" s="585">
        <v>623643.76063216012</v>
      </c>
      <c r="G35" s="603"/>
      <c r="H35" s="586"/>
      <c r="I35" s="586"/>
      <c r="J35" s="586"/>
      <c r="K35" s="586"/>
      <c r="L35" s="586"/>
      <c r="M35" s="586"/>
      <c r="N35" s="586"/>
      <c r="O35" s="587"/>
      <c r="P35" s="7"/>
      <c r="Q35" s="582">
        <v>2016</v>
      </c>
      <c r="R35" s="581">
        <f>C28-R27</f>
        <v>259.59999999999991</v>
      </c>
      <c r="S35" s="581">
        <f>D28-S27</f>
        <v>171.89999999999986</v>
      </c>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thickBot="1" x14ac:dyDescent="0.3">
      <c r="A36" s="570"/>
      <c r="B36" s="582">
        <v>2015</v>
      </c>
      <c r="C36" s="583">
        <v>160000</v>
      </c>
      <c r="D36" s="584">
        <v>470000</v>
      </c>
      <c r="E36" s="584">
        <v>557892.23979152669</v>
      </c>
      <c r="F36" s="585"/>
      <c r="G36" s="603"/>
      <c r="H36" s="586"/>
      <c r="I36" s="586"/>
      <c r="J36" s="586"/>
      <c r="K36" s="586"/>
      <c r="L36" s="586"/>
      <c r="M36" s="586"/>
      <c r="N36" s="586"/>
      <c r="O36" s="587"/>
      <c r="P36" s="7"/>
      <c r="Q36" s="588">
        <v>2017</v>
      </c>
      <c r="R36" s="581">
        <f>C29-R28</f>
        <v>262</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570"/>
      <c r="B37" s="582">
        <v>2016</v>
      </c>
      <c r="C37" s="583">
        <v>180000</v>
      </c>
      <c r="D37" s="584">
        <v>577918.81729201949</v>
      </c>
      <c r="E37" s="584"/>
      <c r="F37" s="585"/>
      <c r="G37" s="603"/>
      <c r="H37" s="586"/>
      <c r="I37" s="586"/>
      <c r="J37" s="586"/>
      <c r="K37" s="586"/>
      <c r="L37" s="586"/>
      <c r="M37" s="586"/>
      <c r="N37" s="586"/>
      <c r="O37" s="58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x14ac:dyDescent="0.3">
      <c r="A38" s="570"/>
      <c r="B38" s="588">
        <v>2017</v>
      </c>
      <c r="C38" s="589">
        <v>162049.30225147915</v>
      </c>
      <c r="D38" s="590"/>
      <c r="E38" s="590"/>
      <c r="F38" s="591"/>
      <c r="G38" s="603"/>
      <c r="H38" s="586"/>
      <c r="I38" s="586"/>
      <c r="J38" s="586"/>
      <c r="K38" s="586"/>
      <c r="L38" s="586"/>
      <c r="M38" s="586"/>
      <c r="N38" s="586"/>
      <c r="O38" s="587"/>
      <c r="P38" s="7"/>
      <c r="Q38" s="7" t="s">
        <v>772</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x14ac:dyDescent="0.3">
      <c r="A39" s="570"/>
      <c r="B39" s="15"/>
      <c r="C39" s="603"/>
      <c r="D39" s="603"/>
      <c r="E39" s="603"/>
      <c r="F39" s="603"/>
      <c r="G39" s="603"/>
      <c r="H39" s="586"/>
      <c r="I39" s="586"/>
      <c r="J39" s="586"/>
      <c r="K39" s="586"/>
      <c r="L39" s="586"/>
      <c r="M39" s="586"/>
      <c r="N39" s="586"/>
      <c r="O39" s="587"/>
      <c r="P39" s="7"/>
      <c r="Q39" s="574" t="s">
        <v>94</v>
      </c>
      <c r="R39" s="575">
        <v>12</v>
      </c>
      <c r="S39" s="575">
        <v>24</v>
      </c>
      <c r="T39" s="575">
        <v>36</v>
      </c>
      <c r="U39" s="576">
        <v>48</v>
      </c>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570"/>
      <c r="B40" s="604">
        <v>0.12</v>
      </c>
      <c r="C40" s="605" t="s">
        <v>773</v>
      </c>
      <c r="D40" s="606"/>
      <c r="E40" s="606"/>
      <c r="F40" s="607"/>
      <c r="G40" s="603"/>
      <c r="H40" s="586"/>
      <c r="I40" s="586"/>
      <c r="J40" s="586"/>
      <c r="K40" s="586"/>
      <c r="L40" s="586"/>
      <c r="M40" s="586"/>
      <c r="N40" s="586"/>
      <c r="O40" s="587"/>
      <c r="P40" s="7"/>
      <c r="Q40" s="577">
        <v>2013</v>
      </c>
      <c r="R40" s="7">
        <f>R8*R32+C34</f>
        <v>212010.29518950434</v>
      </c>
      <c r="S40" s="7">
        <f>S8*S32+D34</f>
        <v>517091.83673469385</v>
      </c>
      <c r="T40" s="7">
        <f>T8*T32+E34</f>
        <v>594375</v>
      </c>
      <c r="U40" s="7">
        <f>U8*U32+F34</f>
        <v>633640</v>
      </c>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x14ac:dyDescent="0.3">
      <c r="A41" s="570"/>
      <c r="B41" s="608">
        <v>1.2</v>
      </c>
      <c r="C41" s="609" t="s">
        <v>774</v>
      </c>
      <c r="D41" s="610"/>
      <c r="E41" s="610"/>
      <c r="F41" s="611"/>
      <c r="G41" s="603"/>
      <c r="H41" s="586"/>
      <c r="I41" s="586"/>
      <c r="J41" s="586"/>
      <c r="K41" s="586"/>
      <c r="L41" s="586"/>
      <c r="M41" s="586"/>
      <c r="N41" s="586"/>
      <c r="O41" s="587"/>
      <c r="P41" s="7"/>
      <c r="Q41" s="582">
        <v>2014</v>
      </c>
      <c r="R41" s="7">
        <f>R9*C17+C35</f>
        <v>255379.46428571423</v>
      </c>
      <c r="S41" s="7">
        <f>S9*D17+D35</f>
        <v>560357.14285714284</v>
      </c>
      <c r="T41" s="7">
        <f>T9*T33+E35</f>
        <v>610750</v>
      </c>
      <c r="U41" s="7">
        <f>U9*U33+F35</f>
        <v>635795.76063216012</v>
      </c>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x14ac:dyDescent="0.25">
      <c r="A42" s="570"/>
      <c r="B42" s="15"/>
      <c r="C42" s="612"/>
      <c r="D42" s="613"/>
      <c r="E42" s="613"/>
      <c r="F42" s="465"/>
      <c r="G42" s="19"/>
      <c r="H42" s="612"/>
      <c r="I42" s="612"/>
      <c r="J42" s="612"/>
      <c r="K42" s="612"/>
      <c r="L42" s="612"/>
      <c r="M42" s="465"/>
      <c r="N42" s="465"/>
      <c r="O42" s="614"/>
      <c r="P42" s="7"/>
      <c r="Q42" s="582">
        <v>2015</v>
      </c>
      <c r="R42" s="7">
        <f>R10*R34+C36</f>
        <v>249477.67857142846</v>
      </c>
      <c r="S42" s="7">
        <f>S10*S34+D36</f>
        <v>552920</v>
      </c>
      <c r="T42" s="7">
        <f>T10*T34+E36</f>
        <v>603560.23979152669</v>
      </c>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x14ac:dyDescent="0.25">
      <c r="A43" s="570"/>
      <c r="B43" s="15" t="s">
        <v>775</v>
      </c>
      <c r="C43" s="19"/>
      <c r="D43" s="19"/>
      <c r="E43" s="19"/>
      <c r="F43" s="19"/>
      <c r="G43" s="19"/>
      <c r="H43" s="19"/>
      <c r="I43" s="19"/>
      <c r="J43" s="19"/>
      <c r="K43" s="19"/>
      <c r="L43" s="19"/>
      <c r="M43" s="19"/>
      <c r="N43" s="19"/>
      <c r="O43" s="615"/>
      <c r="P43" s="7"/>
      <c r="Q43" s="582">
        <v>2016</v>
      </c>
      <c r="R43" s="7">
        <f>R11*R35+C37</f>
        <v>296819.99999999994</v>
      </c>
      <c r="S43" s="7">
        <f>S11*S35+D37</f>
        <v>654930.01729201945</v>
      </c>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thickBot="1" x14ac:dyDescent="0.3">
      <c r="A44" s="570"/>
      <c r="B44" s="15" t="s">
        <v>776</v>
      </c>
      <c r="C44" s="19"/>
      <c r="D44" s="19"/>
      <c r="E44" s="19"/>
      <c r="F44" s="19"/>
      <c r="G44" s="19"/>
      <c r="H44" s="19"/>
      <c r="I44" s="19"/>
      <c r="J44" s="19"/>
      <c r="K44" s="19"/>
      <c r="L44" s="19"/>
      <c r="M44" s="19"/>
      <c r="N44" s="19"/>
      <c r="O44" s="615"/>
      <c r="P44" s="7"/>
      <c r="Q44" s="588">
        <v>2017</v>
      </c>
      <c r="R44" s="7">
        <f>R12*R36+C38</f>
        <v>294097.30225147918</v>
      </c>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570"/>
      <c r="B45" s="15" t="s">
        <v>777</v>
      </c>
      <c r="C45" s="19"/>
      <c r="D45" s="19"/>
      <c r="E45" s="19"/>
      <c r="F45" s="19"/>
      <c r="G45" s="19"/>
      <c r="H45" s="19"/>
      <c r="I45" s="19"/>
      <c r="J45" s="19"/>
      <c r="K45" s="19"/>
      <c r="L45" s="19"/>
      <c r="M45" s="19"/>
      <c r="N45" s="19"/>
      <c r="O45" s="615"/>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570"/>
      <c r="B46" s="15"/>
      <c r="C46" s="19"/>
      <c r="D46" s="19"/>
      <c r="E46" s="19"/>
      <c r="F46" s="19"/>
      <c r="G46" s="19"/>
      <c r="H46" s="19"/>
      <c r="I46" s="19"/>
      <c r="J46" s="19"/>
      <c r="K46" s="19"/>
      <c r="L46" s="19"/>
      <c r="M46" s="19"/>
      <c r="N46" s="19"/>
      <c r="O46" s="615"/>
      <c r="P46" s="7"/>
      <c r="Q46" s="7" t="s">
        <v>778</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570"/>
      <c r="B47" s="15" t="s">
        <v>779</v>
      </c>
      <c r="C47" s="19"/>
      <c r="D47" s="19"/>
      <c r="E47" s="19"/>
      <c r="F47" s="19"/>
      <c r="G47" s="19"/>
      <c r="H47" s="19"/>
      <c r="I47" s="19"/>
      <c r="J47" s="19"/>
      <c r="K47" s="19"/>
      <c r="L47" s="19"/>
      <c r="M47" s="19"/>
      <c r="N47" s="19"/>
      <c r="O47" s="615"/>
      <c r="P47" s="7"/>
      <c r="Q47" s="7"/>
      <c r="R47" s="7">
        <f t="shared" ref="R47:T48" si="2">S40/R40</f>
        <v>2.438993994477928</v>
      </c>
      <c r="S47" s="7">
        <f t="shared" si="2"/>
        <v>1.1494573260976815</v>
      </c>
      <c r="T47" s="7">
        <f t="shared" si="2"/>
        <v>1.0660609884332282</v>
      </c>
      <c r="U47" s="7">
        <f>B41</f>
        <v>1.2</v>
      </c>
      <c r="V47" s="7" t="s">
        <v>780</v>
      </c>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570"/>
      <c r="B48" s="15" t="s">
        <v>781</v>
      </c>
      <c r="C48" s="19"/>
      <c r="D48" s="19"/>
      <c r="E48" s="19"/>
      <c r="F48" s="19"/>
      <c r="G48" s="19"/>
      <c r="H48" s="19"/>
      <c r="I48" s="19"/>
      <c r="J48" s="19"/>
      <c r="K48" s="19"/>
      <c r="L48" s="19"/>
      <c r="M48" s="19"/>
      <c r="N48" s="19"/>
      <c r="O48" s="615"/>
      <c r="P48" s="20"/>
      <c r="Q48" s="20"/>
      <c r="R48" s="7">
        <f t="shared" si="2"/>
        <v>2.1942137925006557</v>
      </c>
      <c r="S48" s="7">
        <f t="shared" si="2"/>
        <v>1.089929891650733</v>
      </c>
      <c r="T48" s="7">
        <f t="shared" si="2"/>
        <v>1.041008204064118</v>
      </c>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x14ac:dyDescent="0.3">
      <c r="A49" s="616"/>
      <c r="B49" s="617"/>
      <c r="C49" s="618"/>
      <c r="D49" s="618"/>
      <c r="E49" s="618"/>
      <c r="F49" s="618"/>
      <c r="G49" s="29"/>
      <c r="H49" s="618"/>
      <c r="I49" s="618"/>
      <c r="J49" s="618"/>
      <c r="K49" s="618"/>
      <c r="L49" s="618"/>
      <c r="M49" s="618"/>
      <c r="N49" s="618"/>
      <c r="O49" s="619"/>
      <c r="P49" s="20"/>
      <c r="Q49" s="20"/>
      <c r="R49" s="7">
        <f>S42/R42</f>
        <v>2.2163105058783539</v>
      </c>
      <c r="S49" s="7">
        <f>T42/S42</f>
        <v>1.0915869199731005</v>
      </c>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7"/>
      <c r="B50" s="7"/>
      <c r="C50" s="7"/>
      <c r="D50" s="7"/>
      <c r="E50" s="7"/>
      <c r="F50" s="7"/>
      <c r="G50" s="7"/>
      <c r="H50" s="7"/>
      <c r="I50" s="7"/>
      <c r="J50" s="20"/>
      <c r="K50" s="20"/>
      <c r="L50" s="20"/>
      <c r="M50" s="20"/>
      <c r="N50" s="7"/>
      <c r="O50" s="7"/>
      <c r="P50" s="7"/>
      <c r="Q50" s="7"/>
      <c r="R50" s="7">
        <f>S43/R43</f>
        <v>2.2064888393370379</v>
      </c>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c r="D52" s="7"/>
      <c r="E52" s="7"/>
      <c r="F52" s="7"/>
      <c r="G52" s="7"/>
      <c r="H52" s="7"/>
      <c r="I52" s="7"/>
      <c r="J52" s="20"/>
      <c r="K52" s="20"/>
      <c r="L52" s="20"/>
      <c r="M52" s="20"/>
      <c r="N52" s="7"/>
      <c r="O52" s="7"/>
      <c r="P52" s="7"/>
      <c r="Q52" s="7" t="s">
        <v>782</v>
      </c>
      <c r="R52" s="7">
        <f>AVERAGE(R47:R50)</f>
        <v>2.264001783048494</v>
      </c>
      <c r="S52" s="7">
        <f>AVERAGE(S47:S50)</f>
        <v>1.1103247125738385</v>
      </c>
      <c r="T52" s="7">
        <f>AVERAGE(T47:T50)</f>
        <v>1.0535345962486731</v>
      </c>
      <c r="U52" s="7">
        <f>U47</f>
        <v>1.2</v>
      </c>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20"/>
      <c r="K53" s="20"/>
      <c r="L53" s="20"/>
      <c r="M53" s="20"/>
      <c r="N53" s="7"/>
      <c r="O53" s="7"/>
      <c r="P53" s="7"/>
      <c r="Q53" s="7" t="s">
        <v>783</v>
      </c>
      <c r="R53" s="7">
        <f>R52*S53</f>
        <v>3.1780214072300943</v>
      </c>
      <c r="S53" s="7">
        <f>S52*T53</f>
        <v>1.4037185973196835</v>
      </c>
      <c r="T53" s="7">
        <f>T52*U53</f>
        <v>1.2642415154984077</v>
      </c>
      <c r="U53" s="7">
        <f>U52</f>
        <v>1.2</v>
      </c>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20"/>
      <c r="K54" s="20"/>
      <c r="L54" s="20"/>
      <c r="M54" s="20"/>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20"/>
      <c r="K55" s="20"/>
      <c r="L55" s="20"/>
      <c r="M55" s="20"/>
      <c r="N55" s="7"/>
      <c r="O55" s="7"/>
      <c r="P55" s="7"/>
      <c r="Q55" s="7" t="s">
        <v>784</v>
      </c>
      <c r="R55" s="620">
        <f>R53*R44</f>
        <v>934647.52236382023</v>
      </c>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20"/>
      <c r="K56" s="20"/>
      <c r="L56" s="20"/>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20"/>
      <c r="K57" s="20"/>
      <c r="L57" s="20"/>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20"/>
      <c r="K58" s="20"/>
      <c r="L58" s="20"/>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20"/>
      <c r="K59" s="20"/>
      <c r="L59" s="20"/>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20"/>
      <c r="K60" s="20"/>
      <c r="L60" s="20"/>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20"/>
      <c r="K61" s="20"/>
      <c r="L61" s="20"/>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20"/>
      <c r="K65" s="20"/>
      <c r="L65" s="20"/>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20"/>
      <c r="K66" s="20"/>
      <c r="L66" s="20"/>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20"/>
      <c r="K67" s="20"/>
      <c r="L67" s="20"/>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20"/>
      <c r="K68" s="20"/>
      <c r="L68" s="20"/>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20"/>
      <c r="K69" s="20"/>
      <c r="L69" s="20"/>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20"/>
      <c r="K70" s="20"/>
      <c r="L70" s="20"/>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20"/>
      <c r="K71" s="20"/>
      <c r="L71" s="20"/>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20"/>
      <c r="K74" s="20"/>
      <c r="L74" s="20"/>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20"/>
      <c r="K75" s="20"/>
      <c r="L75" s="20"/>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20"/>
      <c r="K76" s="20"/>
      <c r="L76" s="20"/>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20"/>
      <c r="K77" s="20"/>
      <c r="L77" s="20"/>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20"/>
      <c r="K78" s="20"/>
      <c r="L78" s="20"/>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20"/>
      <c r="K79" s="20"/>
      <c r="L79" s="20"/>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20"/>
      <c r="K80" s="20"/>
      <c r="L80" s="20"/>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20"/>
      <c r="K83" s="20"/>
      <c r="L83" s="20"/>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20"/>
      <c r="K84" s="20"/>
      <c r="L84" s="20"/>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20"/>
      <c r="K85" s="20"/>
      <c r="L85" s="20"/>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20"/>
      <c r="K86" s="20"/>
      <c r="L86" s="20"/>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20"/>
      <c r="K87" s="20"/>
      <c r="L87" s="20"/>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20"/>
      <c r="K88" s="20"/>
      <c r="L88" s="20"/>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20"/>
      <c r="K89" s="20"/>
      <c r="L89" s="20"/>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20"/>
      <c r="K90" s="20"/>
      <c r="L90" s="20"/>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20"/>
      <c r="K98" s="20"/>
      <c r="L98" s="20"/>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20"/>
      <c r="K99" s="20"/>
      <c r="L99" s="20"/>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20"/>
      <c r="K100" s="20"/>
      <c r="L100" s="2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20"/>
      <c r="K101" s="20"/>
      <c r="L101" s="20"/>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20"/>
      <c r="K102" s="20"/>
      <c r="L102" s="20"/>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20"/>
      <c r="K103" s="20"/>
      <c r="L103" s="20"/>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20"/>
      <c r="K104" s="20"/>
      <c r="L104" s="20"/>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20"/>
      <c r="K105" s="20"/>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20"/>
      <c r="K106" s="20"/>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x14ac:dyDescent="0.25"/>
    <row r="202" spans="1:52" ht="14.85" hidden="1" customHeight="1" x14ac:dyDescent="0.25"/>
    <row r="203" spans="1:52" ht="14.85" hidden="1" customHeight="1" x14ac:dyDescent="0.25"/>
    <row r="204" spans="1:52" s="2" customFormat="1" ht="14.85" hidden="1" customHeight="1" x14ac:dyDescent="0.25">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x14ac:dyDescent="0.25">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x14ac:dyDescent="0.25">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x14ac:dyDescent="0.25">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x14ac:dyDescent="0.25">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x14ac:dyDescent="0.25">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x14ac:dyDescent="0.25">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x14ac:dyDescent="0.25">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x14ac:dyDescent="0.25">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x14ac:dyDescent="0.25">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x14ac:dyDescent="0.25">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x14ac:dyDescent="0.25">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x14ac:dyDescent="0.25">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x14ac:dyDescent="0.25">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x14ac:dyDescent="0.25">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x14ac:dyDescent="0.25">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x14ac:dyDescent="0.25">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x14ac:dyDescent="0.25">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x14ac:dyDescent="0.25">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x14ac:dyDescent="0.25">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x14ac:dyDescent="0.25">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x14ac:dyDescent="0.25">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x14ac:dyDescent="0.25">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x14ac:dyDescent="0.25">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x14ac:dyDescent="0.25">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x14ac:dyDescent="0.25">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x14ac:dyDescent="0.25">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x14ac:dyDescent="0.25">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x14ac:dyDescent="0.25">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x14ac:dyDescent="0.25">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x14ac:dyDescent="0.25">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x14ac:dyDescent="0.25">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x14ac:dyDescent="0.25">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x14ac:dyDescent="0.25">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x14ac:dyDescent="0.25">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x14ac:dyDescent="0.25">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x14ac:dyDescent="0.25">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x14ac:dyDescent="0.25">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x14ac:dyDescent="0.25">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x14ac:dyDescent="0.25">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x14ac:dyDescent="0.25">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x14ac:dyDescent="0.25">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x14ac:dyDescent="0.25">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x14ac:dyDescent="0.25">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x14ac:dyDescent="0.25">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x14ac:dyDescent="0.25">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x14ac:dyDescent="0.25">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x14ac:dyDescent="0.25">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x14ac:dyDescent="0.25">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x14ac:dyDescent="0.25">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x14ac:dyDescent="0.25">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x14ac:dyDescent="0.25">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x14ac:dyDescent="0.25">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x14ac:dyDescent="0.25">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x14ac:dyDescent="0.25">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x14ac:dyDescent="0.25">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x14ac:dyDescent="0.25">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x14ac:dyDescent="0.25">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x14ac:dyDescent="0.25">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x14ac:dyDescent="0.25">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x14ac:dyDescent="0.25">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x14ac:dyDescent="0.25">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x14ac:dyDescent="0.25">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x14ac:dyDescent="0.25">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x14ac:dyDescent="0.25">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x14ac:dyDescent="0.25">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x14ac:dyDescent="0.25">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x14ac:dyDescent="0.25"/>
    <row r="272" spans="1:52" ht="0" hidden="1" customHeight="1" x14ac:dyDescent="0.25"/>
    <row r="273" ht="0" hidden="1" customHeight="1" x14ac:dyDescent="0.25"/>
    <row r="274" ht="0" hidden="1" customHeight="1" x14ac:dyDescent="0.25"/>
    <row r="275" ht="0" hidden="1" customHeight="1" x14ac:dyDescent="0.25"/>
  </sheetData>
  <conditionalFormatting sqref="B1">
    <cfRule type="cellIs" dxfId="56" priority="1" operator="equal">
      <formula>"Review Later"</formula>
    </cfRule>
    <cfRule type="cellIs" dxfId="55" priority="2" operator="equal">
      <formula>"Finished"</formula>
    </cfRule>
    <cfRule type="cellIs" dxfId="54" priority="3" operator="equal">
      <formula>"Incomplete"</formula>
    </cfRule>
  </conditionalFormatting>
  <pageMargins left="0.7" right="0.7" top="0.75" bottom="0.75" header="0.51180555555555496" footer="0.51180555555555496"/>
  <pageSetup firstPageNumber="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C275"/>
  <sheetViews>
    <sheetView zoomScaleNormal="100" zoomScalePageLayoutView="90" workbookViewId="0"/>
  </sheetViews>
  <sheetFormatPr defaultColWidth="0" defaultRowHeight="0" customHeight="1" zeroHeight="1" x14ac:dyDescent="0.25"/>
  <cols>
    <col min="1" max="1" width="11.6640625" style="1" customWidth="1"/>
    <col min="2" max="2" width="15.44140625" style="1" customWidth="1"/>
    <col min="3" max="6" width="12.44140625" style="1" customWidth="1"/>
    <col min="7" max="7" width="11.109375" style="1" customWidth="1"/>
    <col min="8" max="8" width="42.44140625" style="1" customWidth="1"/>
    <col min="9" max="9" width="14" style="1" customWidth="1"/>
    <col min="10" max="12" width="12.44140625" style="21" customWidth="1"/>
    <col min="13" max="13" width="10.6640625" style="21" customWidth="1"/>
    <col min="14" max="52" width="10.6640625" style="1" customWidth="1"/>
    <col min="53" max="55" width="0" style="1" hidden="1" customWidth="1"/>
    <col min="56" max="16384" width="10.6640625" style="1" hidden="1"/>
  </cols>
  <sheetData>
    <row r="1" spans="1:52" ht="14.85" customHeight="1" thickBot="1" x14ac:dyDescent="0.3">
      <c r="A1" s="3">
        <v>21</v>
      </c>
      <c r="B1" s="4"/>
      <c r="C1" s="5"/>
      <c r="D1" s="5"/>
      <c r="E1" s="5"/>
      <c r="F1" s="5"/>
      <c r="G1" s="5"/>
      <c r="H1" s="5"/>
      <c r="I1" s="5"/>
      <c r="J1" s="5"/>
      <c r="K1" s="5"/>
      <c r="L1" s="5"/>
      <c r="M1" s="5"/>
      <c r="N1" s="5"/>
      <c r="O1" s="6"/>
      <c r="P1" s="7"/>
      <c r="Q1" s="7"/>
      <c r="R1" s="7"/>
      <c r="S1" s="7"/>
      <c r="T1" s="7"/>
      <c r="U1" s="7"/>
      <c r="V1" s="7"/>
      <c r="W1" s="7"/>
    </row>
    <row r="2" spans="1:52" ht="14.85" customHeight="1" x14ac:dyDescent="0.25">
      <c r="A2" s="8" t="s">
        <v>4</v>
      </c>
      <c r="B2" s="9"/>
      <c r="C2" s="9"/>
      <c r="D2" s="9"/>
      <c r="E2" s="9"/>
      <c r="F2" s="9"/>
      <c r="G2" s="9"/>
      <c r="H2" s="9"/>
      <c r="I2" s="9"/>
      <c r="J2" s="9"/>
      <c r="K2" s="9"/>
      <c r="L2" s="9"/>
      <c r="M2" s="9"/>
      <c r="N2" s="9"/>
      <c r="O2" s="10"/>
      <c r="P2" s="7"/>
      <c r="Q2" s="7"/>
      <c r="R2" s="7"/>
      <c r="S2" s="7"/>
      <c r="T2" s="7"/>
      <c r="U2" s="7"/>
      <c r="V2" s="7"/>
      <c r="W2" s="7"/>
    </row>
    <row r="3" spans="1:52" ht="14.85" customHeight="1" x14ac:dyDescent="0.25">
      <c r="A3" s="11">
        <v>2.5</v>
      </c>
      <c r="B3" s="9"/>
      <c r="C3" s="9"/>
      <c r="D3" s="9"/>
      <c r="E3" s="9"/>
      <c r="F3" s="9"/>
      <c r="G3" s="9"/>
      <c r="H3" s="9"/>
      <c r="I3" s="9"/>
      <c r="J3" s="9"/>
      <c r="K3" s="9"/>
      <c r="L3" s="9"/>
      <c r="M3" s="9"/>
      <c r="N3" s="9"/>
      <c r="O3" s="10"/>
      <c r="P3" s="7"/>
      <c r="Q3" s="7"/>
      <c r="R3" s="7"/>
      <c r="S3" s="7"/>
      <c r="T3" s="7"/>
      <c r="U3" s="7"/>
      <c r="V3" s="7"/>
      <c r="W3" s="7"/>
    </row>
    <row r="4" spans="1:52" ht="14.85" customHeight="1" x14ac:dyDescent="0.25">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x14ac:dyDescent="0.3">
      <c r="A5" s="570"/>
      <c r="B5" s="15"/>
      <c r="C5" s="25"/>
      <c r="D5" s="25"/>
      <c r="E5" s="25"/>
      <c r="F5" s="25"/>
      <c r="G5" s="25"/>
      <c r="H5" s="25"/>
      <c r="I5" s="25"/>
      <c r="J5" s="25"/>
      <c r="K5" s="25"/>
      <c r="L5" s="25"/>
      <c r="M5" s="25"/>
      <c r="N5" s="25"/>
      <c r="O5" s="26"/>
      <c r="P5" s="7"/>
      <c r="Q5" s="7"/>
      <c r="R5" s="7"/>
      <c r="S5" s="7"/>
      <c r="T5" s="7"/>
      <c r="U5" s="7"/>
      <c r="V5" s="7"/>
      <c r="W5" s="7"/>
    </row>
    <row r="6" spans="1:52" ht="14.4" customHeight="1" x14ac:dyDescent="0.25">
      <c r="A6" s="570"/>
      <c r="B6" s="571" t="s">
        <v>117</v>
      </c>
      <c r="C6" s="572" t="s">
        <v>759</v>
      </c>
      <c r="D6" s="572"/>
      <c r="E6" s="572"/>
      <c r="F6" s="573"/>
      <c r="G6" s="25"/>
      <c r="H6" s="571" t="s">
        <v>117</v>
      </c>
      <c r="I6" s="572" t="s">
        <v>760</v>
      </c>
      <c r="J6" s="572"/>
      <c r="K6" s="572"/>
      <c r="L6" s="573"/>
      <c r="M6" s="25"/>
      <c r="N6" s="25"/>
      <c r="O6" s="26"/>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x14ac:dyDescent="0.3">
      <c r="A7" s="570"/>
      <c r="B7" s="574" t="s">
        <v>94</v>
      </c>
      <c r="C7" s="575">
        <v>12</v>
      </c>
      <c r="D7" s="575">
        <v>24</v>
      </c>
      <c r="E7" s="575">
        <v>36</v>
      </c>
      <c r="F7" s="576">
        <v>48</v>
      </c>
      <c r="G7" s="25"/>
      <c r="H7" s="574" t="s">
        <v>94</v>
      </c>
      <c r="I7" s="575">
        <v>12</v>
      </c>
      <c r="J7" s="575">
        <v>24</v>
      </c>
      <c r="K7" s="575">
        <v>36</v>
      </c>
      <c r="L7" s="576">
        <v>48</v>
      </c>
      <c r="M7" s="25"/>
      <c r="N7" s="25"/>
      <c r="O7" s="26"/>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570"/>
      <c r="B8" s="577">
        <v>2013</v>
      </c>
      <c r="C8" s="578">
        <v>150000</v>
      </c>
      <c r="D8" s="579">
        <v>450000</v>
      </c>
      <c r="E8" s="579">
        <v>550000</v>
      </c>
      <c r="F8" s="580">
        <v>620000</v>
      </c>
      <c r="G8" s="25"/>
      <c r="H8" s="577">
        <v>2013</v>
      </c>
      <c r="I8" s="578">
        <v>300</v>
      </c>
      <c r="J8" s="579">
        <v>320</v>
      </c>
      <c r="K8" s="579">
        <v>290</v>
      </c>
      <c r="L8" s="580">
        <v>310</v>
      </c>
      <c r="M8" s="25"/>
      <c r="N8" s="25"/>
      <c r="O8" s="26"/>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570"/>
      <c r="B9" s="582">
        <v>2014</v>
      </c>
      <c r="C9" s="583">
        <v>170000</v>
      </c>
      <c r="D9" s="584">
        <v>480000</v>
      </c>
      <c r="E9" s="584">
        <v>560000</v>
      </c>
      <c r="F9" s="585">
        <v>590000</v>
      </c>
      <c r="G9" s="25"/>
      <c r="H9" s="582">
        <v>2014</v>
      </c>
      <c r="I9" s="583">
        <v>320</v>
      </c>
      <c r="J9" s="584">
        <v>310</v>
      </c>
      <c r="K9" s="584">
        <v>350</v>
      </c>
      <c r="L9" s="585">
        <v>200</v>
      </c>
      <c r="M9" s="25"/>
      <c r="N9" s="25"/>
      <c r="O9" s="26"/>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570"/>
      <c r="B10" s="582">
        <v>2015</v>
      </c>
      <c r="C10" s="583">
        <v>160000</v>
      </c>
      <c r="D10" s="584">
        <v>470000</v>
      </c>
      <c r="E10" s="584">
        <v>510000</v>
      </c>
      <c r="F10" s="585"/>
      <c r="G10" s="25"/>
      <c r="H10" s="582">
        <v>2015</v>
      </c>
      <c r="I10" s="583">
        <v>310</v>
      </c>
      <c r="J10" s="584">
        <v>400</v>
      </c>
      <c r="K10" s="584">
        <v>250</v>
      </c>
      <c r="L10" s="585"/>
      <c r="M10" s="25"/>
      <c r="N10" s="25"/>
      <c r="O10" s="26"/>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570"/>
      <c r="B11" s="582">
        <v>2016</v>
      </c>
      <c r="C11" s="583">
        <v>180000</v>
      </c>
      <c r="D11" s="584">
        <v>270000</v>
      </c>
      <c r="E11" s="584"/>
      <c r="F11" s="585"/>
      <c r="G11" s="25"/>
      <c r="H11" s="582">
        <v>2016</v>
      </c>
      <c r="I11" s="583">
        <v>450</v>
      </c>
      <c r="J11" s="584">
        <v>190</v>
      </c>
      <c r="K11" s="584"/>
      <c r="L11" s="585"/>
      <c r="M11" s="586"/>
      <c r="N11" s="586"/>
      <c r="O11" s="58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570"/>
      <c r="B12" s="588">
        <v>2017</v>
      </c>
      <c r="C12" s="589">
        <v>90000</v>
      </c>
      <c r="D12" s="590"/>
      <c r="E12" s="590"/>
      <c r="F12" s="591"/>
      <c r="G12" s="25"/>
      <c r="H12" s="588">
        <v>2017</v>
      </c>
      <c r="I12" s="589">
        <v>120</v>
      </c>
      <c r="J12" s="590"/>
      <c r="K12" s="590"/>
      <c r="L12" s="591"/>
      <c r="M12" s="586"/>
      <c r="N12" s="586"/>
      <c r="O12" s="58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x14ac:dyDescent="0.25">
      <c r="A14" s="570"/>
      <c r="B14" s="571" t="s">
        <v>117</v>
      </c>
      <c r="C14" s="572" t="s">
        <v>762</v>
      </c>
      <c r="D14" s="572"/>
      <c r="E14" s="572"/>
      <c r="F14" s="573"/>
      <c r="G14" s="25"/>
      <c r="H14" s="571" t="s">
        <v>117</v>
      </c>
      <c r="I14" s="572" t="s">
        <v>763</v>
      </c>
      <c r="J14" s="572"/>
      <c r="K14" s="572"/>
      <c r="L14" s="573"/>
      <c r="M14" s="586"/>
      <c r="N14" s="586"/>
      <c r="O14" s="58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x14ac:dyDescent="0.3">
      <c r="A15" s="570"/>
      <c r="B15" s="574" t="s">
        <v>94</v>
      </c>
      <c r="C15" s="575">
        <v>12</v>
      </c>
      <c r="D15" s="575">
        <v>24</v>
      </c>
      <c r="E15" s="575">
        <v>36</v>
      </c>
      <c r="F15" s="576">
        <v>48</v>
      </c>
      <c r="G15" s="25"/>
      <c r="H15" s="574" t="s">
        <v>94</v>
      </c>
      <c r="I15" s="575">
        <v>12</v>
      </c>
      <c r="J15" s="575">
        <v>24</v>
      </c>
      <c r="K15" s="575">
        <v>36</v>
      </c>
      <c r="L15" s="576">
        <v>48</v>
      </c>
      <c r="M15" s="586"/>
      <c r="N15" s="586"/>
      <c r="O15" s="58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x14ac:dyDescent="0.3">
      <c r="A20" s="570"/>
      <c r="B20" s="588">
        <v>2017</v>
      </c>
      <c r="C20" s="589">
        <v>810</v>
      </c>
      <c r="D20" s="590"/>
      <c r="E20" s="590"/>
      <c r="F20" s="591"/>
      <c r="G20" s="25"/>
      <c r="H20" s="588">
        <v>2017</v>
      </c>
      <c r="I20" s="589">
        <v>540</v>
      </c>
      <c r="J20" s="590"/>
      <c r="K20" s="590"/>
      <c r="L20" s="591"/>
      <c r="M20" s="586"/>
      <c r="N20" s="586"/>
      <c r="O20" s="58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570"/>
      <c r="B21" s="592"/>
      <c r="C21" s="584"/>
      <c r="D21" s="584"/>
      <c r="E21" s="584"/>
      <c r="F21" s="584"/>
      <c r="G21" s="25"/>
      <c r="H21" s="586"/>
      <c r="I21" s="586"/>
      <c r="J21" s="586"/>
      <c r="K21" s="586"/>
      <c r="L21" s="586"/>
      <c r="M21" s="586"/>
      <c r="N21" s="586"/>
      <c r="O21" s="58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x14ac:dyDescent="0.3">
      <c r="A22" s="570"/>
      <c r="B22" s="592"/>
      <c r="C22" s="592"/>
      <c r="D22" s="592"/>
      <c r="E22" s="592"/>
      <c r="F22" s="592"/>
      <c r="G22" s="592"/>
      <c r="H22" s="571"/>
      <c r="I22" s="593" t="s">
        <v>675</v>
      </c>
      <c r="J22" s="586"/>
      <c r="K22" s="586"/>
      <c r="L22" s="586"/>
      <c r="M22" s="586"/>
      <c r="N22" s="586"/>
      <c r="O22" s="58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570"/>
      <c r="B23" s="571" t="s">
        <v>117</v>
      </c>
      <c r="C23" s="572" t="s">
        <v>766</v>
      </c>
      <c r="D23" s="572"/>
      <c r="E23" s="572"/>
      <c r="F23" s="573"/>
      <c r="G23" s="592"/>
      <c r="H23" s="594" t="s">
        <v>117</v>
      </c>
      <c r="I23" s="595" t="s">
        <v>767</v>
      </c>
      <c r="J23" s="586"/>
      <c r="K23" s="586"/>
      <c r="L23" s="586"/>
      <c r="M23" s="586"/>
      <c r="N23" s="586"/>
      <c r="O23" s="58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x14ac:dyDescent="0.3">
      <c r="A24" s="570"/>
      <c r="B24" s="574" t="s">
        <v>94</v>
      </c>
      <c r="C24" s="575">
        <v>12</v>
      </c>
      <c r="D24" s="575">
        <v>24</v>
      </c>
      <c r="E24" s="575">
        <v>36</v>
      </c>
      <c r="F24" s="576">
        <v>48</v>
      </c>
      <c r="G24" s="592"/>
      <c r="H24" s="574" t="s">
        <v>94</v>
      </c>
      <c r="I24" s="596" t="s">
        <v>768</v>
      </c>
      <c r="J24" s="586"/>
      <c r="K24" s="586"/>
      <c r="L24" s="586"/>
      <c r="M24" s="586"/>
      <c r="N24" s="586"/>
      <c r="O24" s="58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570"/>
      <c r="B25" s="577">
        <v>2013</v>
      </c>
      <c r="C25" s="578">
        <v>1200</v>
      </c>
      <c r="D25" s="579">
        <v>1350</v>
      </c>
      <c r="E25" s="579">
        <v>1400</v>
      </c>
      <c r="F25" s="580">
        <v>1450</v>
      </c>
      <c r="G25" s="592"/>
      <c r="H25" s="577">
        <v>2013</v>
      </c>
      <c r="I25" s="597">
        <v>1480</v>
      </c>
      <c r="J25" s="586"/>
      <c r="K25" s="586"/>
      <c r="L25" s="586"/>
      <c r="M25" s="586"/>
      <c r="N25" s="586"/>
      <c r="O25" s="58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570"/>
      <c r="B26" s="582">
        <v>2014</v>
      </c>
      <c r="C26" s="583">
        <v>1258</v>
      </c>
      <c r="D26" s="584">
        <v>1380</v>
      </c>
      <c r="E26" s="584">
        <v>1420</v>
      </c>
      <c r="F26" s="585">
        <v>1460</v>
      </c>
      <c r="G26" s="592"/>
      <c r="H26" s="582">
        <v>2014</v>
      </c>
      <c r="I26" s="598">
        <v>1500</v>
      </c>
      <c r="J26" s="586"/>
      <c r="K26" s="586"/>
      <c r="L26" s="586"/>
      <c r="M26" s="586"/>
      <c r="N26" s="586"/>
      <c r="O26" s="58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570"/>
      <c r="B27" s="582">
        <v>2015</v>
      </c>
      <c r="C27" s="583">
        <v>1249.5</v>
      </c>
      <c r="D27" s="584">
        <v>1370</v>
      </c>
      <c r="E27" s="584">
        <v>1400</v>
      </c>
      <c r="F27" s="585"/>
      <c r="G27" s="592"/>
      <c r="H27" s="582">
        <v>2015</v>
      </c>
      <c r="I27" s="598">
        <v>1510</v>
      </c>
      <c r="J27" s="586"/>
      <c r="K27" s="586"/>
      <c r="L27" s="586"/>
      <c r="M27" s="586"/>
      <c r="N27" s="586"/>
      <c r="O27" s="58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570"/>
      <c r="B28" s="582">
        <v>2016</v>
      </c>
      <c r="C28" s="583">
        <v>1300</v>
      </c>
      <c r="D28" s="584">
        <v>1350</v>
      </c>
      <c r="E28" s="584"/>
      <c r="F28" s="585"/>
      <c r="G28" s="592"/>
      <c r="H28" s="582">
        <v>2016</v>
      </c>
      <c r="I28" s="598">
        <v>1530</v>
      </c>
      <c r="J28" s="586"/>
      <c r="K28" s="586"/>
      <c r="L28" s="586"/>
      <c r="M28" s="586"/>
      <c r="N28" s="586"/>
      <c r="O28" s="58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x14ac:dyDescent="0.3">
      <c r="A29" s="570"/>
      <c r="B29" s="588">
        <v>2017</v>
      </c>
      <c r="C29" s="589">
        <v>1350</v>
      </c>
      <c r="D29" s="590"/>
      <c r="E29" s="590"/>
      <c r="F29" s="591"/>
      <c r="G29" s="592"/>
      <c r="H29" s="588">
        <v>2017</v>
      </c>
      <c r="I29" s="599">
        <v>1600</v>
      </c>
      <c r="J29" s="586"/>
      <c r="K29" s="586"/>
      <c r="L29" s="586"/>
      <c r="M29" s="586"/>
      <c r="N29" s="586"/>
      <c r="O29" s="58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x14ac:dyDescent="0.3">
      <c r="A30" s="570"/>
      <c r="B30" s="592"/>
      <c r="C30" s="584"/>
      <c r="D30" s="584"/>
      <c r="E30" s="584"/>
      <c r="F30" s="584"/>
      <c r="G30" s="592"/>
      <c r="H30" s="586"/>
      <c r="I30" s="586"/>
      <c r="J30" s="586"/>
      <c r="K30" s="586"/>
      <c r="L30" s="586"/>
      <c r="M30" s="586"/>
      <c r="N30" s="586"/>
      <c r="O30" s="58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570"/>
      <c r="B31" s="571"/>
      <c r="C31" s="572" t="s">
        <v>770</v>
      </c>
      <c r="D31" s="572"/>
      <c r="E31" s="572"/>
      <c r="F31" s="573"/>
      <c r="G31" s="592"/>
      <c r="H31" s="586"/>
      <c r="I31" s="586"/>
      <c r="J31" s="586"/>
      <c r="K31" s="586"/>
      <c r="L31" s="586"/>
      <c r="M31" s="586"/>
      <c r="N31" s="586"/>
      <c r="O31" s="58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570"/>
      <c r="B32" s="594" t="s">
        <v>117</v>
      </c>
      <c r="C32" s="600" t="s">
        <v>771</v>
      </c>
      <c r="D32" s="600"/>
      <c r="E32" s="600"/>
      <c r="F32" s="601"/>
      <c r="G32" s="592"/>
      <c r="H32" s="586"/>
      <c r="I32" s="586"/>
      <c r="J32" s="586"/>
      <c r="K32" s="586"/>
      <c r="L32" s="586"/>
      <c r="M32" s="586"/>
      <c r="N32" s="586"/>
      <c r="O32" s="58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x14ac:dyDescent="0.3">
      <c r="A33" s="570"/>
      <c r="B33" s="574" t="s">
        <v>94</v>
      </c>
      <c r="C33" s="575">
        <v>12</v>
      </c>
      <c r="D33" s="575">
        <v>24</v>
      </c>
      <c r="E33" s="575">
        <v>36</v>
      </c>
      <c r="F33" s="576">
        <v>48</v>
      </c>
      <c r="G33" s="602"/>
      <c r="H33" s="586"/>
      <c r="I33" s="586"/>
      <c r="J33" s="586"/>
      <c r="K33" s="586"/>
      <c r="L33" s="586"/>
      <c r="M33" s="586"/>
      <c r="N33" s="586"/>
      <c r="O33" s="58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570"/>
      <c r="B34" s="577">
        <v>2013</v>
      </c>
      <c r="C34" s="578">
        <v>150000</v>
      </c>
      <c r="D34" s="579">
        <v>450000</v>
      </c>
      <c r="E34" s="579">
        <v>550000</v>
      </c>
      <c r="F34" s="580">
        <v>620000</v>
      </c>
      <c r="G34" s="602"/>
      <c r="H34" s="586"/>
      <c r="I34" s="586"/>
      <c r="J34" s="586"/>
      <c r="K34" s="586"/>
      <c r="L34" s="586"/>
      <c r="M34" s="586"/>
      <c r="N34" s="586"/>
      <c r="O34" s="58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570"/>
      <c r="B35" s="582">
        <v>2014</v>
      </c>
      <c r="C35" s="583">
        <v>170000</v>
      </c>
      <c r="D35" s="584">
        <v>480000</v>
      </c>
      <c r="E35" s="584">
        <v>560000</v>
      </c>
      <c r="F35" s="585">
        <v>623643.76063216012</v>
      </c>
      <c r="G35" s="603"/>
      <c r="H35" s="586"/>
      <c r="I35" s="586"/>
      <c r="J35" s="586"/>
      <c r="K35" s="586"/>
      <c r="L35" s="586"/>
      <c r="M35" s="586"/>
      <c r="N35" s="586"/>
      <c r="O35" s="58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570"/>
      <c r="B36" s="582">
        <v>2015</v>
      </c>
      <c r="C36" s="583">
        <v>160000</v>
      </c>
      <c r="D36" s="584">
        <v>470000</v>
      </c>
      <c r="E36" s="584">
        <v>557892.23979152669</v>
      </c>
      <c r="F36" s="585"/>
      <c r="G36" s="603"/>
      <c r="H36" s="586"/>
      <c r="I36" s="586"/>
      <c r="J36" s="586"/>
      <c r="K36" s="586"/>
      <c r="L36" s="586"/>
      <c r="M36" s="586"/>
      <c r="N36" s="586"/>
      <c r="O36" s="58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570"/>
      <c r="B37" s="582">
        <v>2016</v>
      </c>
      <c r="C37" s="583">
        <v>180000</v>
      </c>
      <c r="D37" s="584">
        <v>577918.81729201949</v>
      </c>
      <c r="E37" s="584"/>
      <c r="F37" s="585"/>
      <c r="G37" s="603"/>
      <c r="H37" s="586"/>
      <c r="I37" s="586"/>
      <c r="J37" s="586"/>
      <c r="K37" s="586"/>
      <c r="L37" s="586"/>
      <c r="M37" s="586"/>
      <c r="N37" s="586"/>
      <c r="O37" s="58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x14ac:dyDescent="0.3">
      <c r="A38" s="570"/>
      <c r="B38" s="588">
        <v>2017</v>
      </c>
      <c r="C38" s="589">
        <v>162049.30225147915</v>
      </c>
      <c r="D38" s="590"/>
      <c r="E38" s="590"/>
      <c r="F38" s="591"/>
      <c r="G38" s="603"/>
      <c r="H38" s="586"/>
      <c r="I38" s="586"/>
      <c r="J38" s="586"/>
      <c r="K38" s="586"/>
      <c r="L38" s="586"/>
      <c r="M38" s="586"/>
      <c r="N38" s="586"/>
      <c r="O38" s="58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x14ac:dyDescent="0.3">
      <c r="A39" s="570"/>
      <c r="B39" s="15"/>
      <c r="C39" s="603"/>
      <c r="D39" s="603"/>
      <c r="E39" s="603"/>
      <c r="F39" s="603"/>
      <c r="G39" s="603"/>
      <c r="H39" s="586"/>
      <c r="I39" s="586"/>
      <c r="J39" s="586"/>
      <c r="K39" s="586"/>
      <c r="L39" s="586"/>
      <c r="M39" s="586"/>
      <c r="N39" s="586"/>
      <c r="O39" s="58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570"/>
      <c r="B40" s="604">
        <v>0.12</v>
      </c>
      <c r="C40" s="605" t="s">
        <v>773</v>
      </c>
      <c r="D40" s="606"/>
      <c r="E40" s="606"/>
      <c r="F40" s="607"/>
      <c r="G40" s="603"/>
      <c r="H40" s="586"/>
      <c r="I40" s="586"/>
      <c r="J40" s="586"/>
      <c r="K40" s="586"/>
      <c r="L40" s="586"/>
      <c r="M40" s="586"/>
      <c r="N40" s="586"/>
      <c r="O40" s="58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x14ac:dyDescent="0.3">
      <c r="A41" s="570"/>
      <c r="B41" s="608">
        <v>1.2</v>
      </c>
      <c r="C41" s="609" t="s">
        <v>774</v>
      </c>
      <c r="D41" s="610"/>
      <c r="E41" s="610"/>
      <c r="F41" s="611"/>
      <c r="G41" s="603"/>
      <c r="H41" s="586"/>
      <c r="I41" s="586"/>
      <c r="J41" s="586"/>
      <c r="K41" s="586"/>
      <c r="L41" s="586"/>
      <c r="M41" s="586"/>
      <c r="N41" s="586"/>
      <c r="O41" s="58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x14ac:dyDescent="0.25">
      <c r="A42" s="570"/>
      <c r="B42" s="15"/>
      <c r="C42" s="612"/>
      <c r="D42" s="613"/>
      <c r="E42" s="613"/>
      <c r="F42" s="465"/>
      <c r="G42" s="19"/>
      <c r="H42" s="612"/>
      <c r="I42" s="612"/>
      <c r="J42" s="612"/>
      <c r="K42" s="612"/>
      <c r="L42" s="612"/>
      <c r="M42" s="465"/>
      <c r="N42" s="465"/>
      <c r="O42" s="614"/>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x14ac:dyDescent="0.25">
      <c r="A43" s="570"/>
      <c r="B43" s="15" t="s">
        <v>775</v>
      </c>
      <c r="C43" s="19"/>
      <c r="D43" s="19"/>
      <c r="E43" s="19"/>
      <c r="F43" s="19"/>
      <c r="G43" s="19"/>
      <c r="H43" s="19"/>
      <c r="I43" s="19"/>
      <c r="J43" s="19"/>
      <c r="K43" s="19"/>
      <c r="L43" s="19"/>
      <c r="M43" s="19"/>
      <c r="N43" s="19"/>
      <c r="O43" s="615"/>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x14ac:dyDescent="0.25">
      <c r="A44" s="570"/>
      <c r="B44" s="15" t="s">
        <v>776</v>
      </c>
      <c r="C44" s="19"/>
      <c r="D44" s="19"/>
      <c r="E44" s="19"/>
      <c r="F44" s="19"/>
      <c r="G44" s="19"/>
      <c r="H44" s="19"/>
      <c r="I44" s="19"/>
      <c r="J44" s="19"/>
      <c r="K44" s="19"/>
      <c r="L44" s="19"/>
      <c r="M44" s="19"/>
      <c r="N44" s="19"/>
      <c r="O44" s="615"/>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570"/>
      <c r="B45" s="15" t="s">
        <v>777</v>
      </c>
      <c r="C45" s="19"/>
      <c r="D45" s="19"/>
      <c r="E45" s="19"/>
      <c r="F45" s="19"/>
      <c r="G45" s="19"/>
      <c r="H45" s="19"/>
      <c r="I45" s="19"/>
      <c r="J45" s="19"/>
      <c r="K45" s="19"/>
      <c r="L45" s="19"/>
      <c r="M45" s="19"/>
      <c r="N45" s="19"/>
      <c r="O45" s="615"/>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570"/>
      <c r="B46" s="15"/>
      <c r="C46" s="19"/>
      <c r="D46" s="19"/>
      <c r="E46" s="19"/>
      <c r="F46" s="19"/>
      <c r="G46" s="19"/>
      <c r="H46" s="19"/>
      <c r="I46" s="19"/>
      <c r="J46" s="19"/>
      <c r="K46" s="19"/>
      <c r="L46" s="19"/>
      <c r="M46" s="19"/>
      <c r="N46" s="19"/>
      <c r="O46" s="615"/>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570"/>
      <c r="B47" s="15" t="s">
        <v>779</v>
      </c>
      <c r="C47" s="19"/>
      <c r="D47" s="19"/>
      <c r="E47" s="19"/>
      <c r="F47" s="19"/>
      <c r="G47" s="19"/>
      <c r="H47" s="19"/>
      <c r="I47" s="19"/>
      <c r="J47" s="19"/>
      <c r="K47" s="19"/>
      <c r="L47" s="19"/>
      <c r="M47" s="19"/>
      <c r="N47" s="19"/>
      <c r="O47" s="615"/>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570"/>
      <c r="B48" s="15" t="s">
        <v>781</v>
      </c>
      <c r="C48" s="19"/>
      <c r="D48" s="19"/>
      <c r="E48" s="19"/>
      <c r="F48" s="19"/>
      <c r="G48" s="19"/>
      <c r="H48" s="19"/>
      <c r="I48" s="19"/>
      <c r="J48" s="19"/>
      <c r="K48" s="19"/>
      <c r="L48" s="19"/>
      <c r="M48" s="19"/>
      <c r="N48" s="19"/>
      <c r="O48" s="615"/>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x14ac:dyDescent="0.3">
      <c r="A49" s="616"/>
      <c r="B49" s="617"/>
      <c r="C49" s="618"/>
      <c r="D49" s="618"/>
      <c r="E49" s="618"/>
      <c r="F49" s="618"/>
      <c r="G49" s="29"/>
      <c r="H49" s="618"/>
      <c r="I49" s="618"/>
      <c r="J49" s="618"/>
      <c r="K49" s="618"/>
      <c r="L49" s="618"/>
      <c r="M49" s="618"/>
      <c r="N49" s="618"/>
      <c r="O49" s="619"/>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7"/>
      <c r="B50" s="7"/>
      <c r="C50" s="7"/>
      <c r="D50" s="7"/>
      <c r="E50" s="7"/>
      <c r="F50" s="7"/>
      <c r="G50" s="7"/>
      <c r="H50" s="7"/>
      <c r="I50" s="7"/>
      <c r="J50" s="20"/>
      <c r="K50" s="20"/>
      <c r="L50" s="20"/>
      <c r="M50" s="20"/>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thickBot="1" x14ac:dyDescent="0.3">
      <c r="A52" s="7"/>
      <c r="B52" s="7"/>
      <c r="C52" s="7" t="s">
        <v>785</v>
      </c>
      <c r="D52" s="7"/>
      <c r="E52" s="7"/>
      <c r="F52" s="7"/>
      <c r="G52" s="7"/>
      <c r="H52" s="7"/>
      <c r="I52" s="7"/>
      <c r="J52" s="20"/>
      <c r="K52" s="20"/>
      <c r="L52" s="20"/>
      <c r="M52" s="20"/>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t="s">
        <v>0</v>
      </c>
      <c r="C53" s="7"/>
      <c r="D53" s="7"/>
      <c r="E53" s="7"/>
      <c r="F53" s="7"/>
      <c r="G53" s="7"/>
      <c r="H53" s="571" t="s">
        <v>117</v>
      </c>
      <c r="I53" s="572" t="s">
        <v>786</v>
      </c>
      <c r="J53" s="572"/>
      <c r="K53" s="572"/>
      <c r="L53" s="573"/>
      <c r="M53" s="20"/>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thickBot="1" x14ac:dyDescent="0.3">
      <c r="A54" s="7"/>
      <c r="B54" s="7"/>
      <c r="C54" s="7"/>
      <c r="D54" s="7"/>
      <c r="E54" s="7"/>
      <c r="F54" s="7"/>
      <c r="G54" s="7"/>
      <c r="H54" s="574" t="s">
        <v>94</v>
      </c>
      <c r="I54" s="575">
        <v>12</v>
      </c>
      <c r="J54" s="575">
        <v>24</v>
      </c>
      <c r="K54" s="575">
        <v>36</v>
      </c>
      <c r="L54" s="576">
        <v>48</v>
      </c>
      <c r="M54" s="20"/>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thickBot="1" x14ac:dyDescent="0.3">
      <c r="A55" s="7"/>
      <c r="B55" s="7"/>
      <c r="C55" s="7"/>
      <c r="D55" s="7"/>
      <c r="E55" s="7"/>
      <c r="F55" s="7"/>
      <c r="G55" s="7"/>
      <c r="H55" s="577">
        <v>2013</v>
      </c>
      <c r="I55" s="621">
        <f>I16/$I25</f>
        <v>0.68</v>
      </c>
      <c r="J55" s="621">
        <f t="shared" ref="J55:L55" si="0">J16/$I25</f>
        <v>0.77000000000000013</v>
      </c>
      <c r="K55" s="621">
        <f t="shared" si="0"/>
        <v>0.85</v>
      </c>
      <c r="L55" s="621">
        <f t="shared" si="0"/>
        <v>0.95</v>
      </c>
      <c r="M55" s="20"/>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thickBot="1" x14ac:dyDescent="0.3">
      <c r="A56" s="7"/>
      <c r="B56" s="7"/>
      <c r="C56" s="7"/>
      <c r="D56" s="7"/>
      <c r="E56" s="7"/>
      <c r="F56" s="7"/>
      <c r="G56" s="7"/>
      <c r="H56" s="582">
        <v>2014</v>
      </c>
      <c r="I56" s="621">
        <f t="shared" ref="I56:K58" si="1">I17/$I26</f>
        <v>0.68</v>
      </c>
      <c r="J56" s="621">
        <f t="shared" si="1"/>
        <v>0.77</v>
      </c>
      <c r="K56" s="621">
        <f t="shared" si="1"/>
        <v>0.85</v>
      </c>
      <c r="L56" s="585"/>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thickBot="1" x14ac:dyDescent="0.3">
      <c r="A57" s="7"/>
      <c r="B57" s="7"/>
      <c r="C57" s="7"/>
      <c r="D57" s="7"/>
      <c r="E57" s="7"/>
      <c r="F57" s="7"/>
      <c r="G57" s="7"/>
      <c r="H57" s="582">
        <v>2015</v>
      </c>
      <c r="I57" s="621">
        <f t="shared" si="1"/>
        <v>0.68000000000000016</v>
      </c>
      <c r="J57" s="621">
        <f t="shared" si="1"/>
        <v>0.77</v>
      </c>
      <c r="K57" s="584"/>
      <c r="L57" s="585"/>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582">
        <v>2016</v>
      </c>
      <c r="I58" s="621">
        <f t="shared" si="1"/>
        <v>0.68</v>
      </c>
      <c r="J58" s="584"/>
      <c r="K58" s="584"/>
      <c r="L58" s="585"/>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thickBot="1" x14ac:dyDescent="0.3">
      <c r="A59" s="7"/>
      <c r="B59" s="7"/>
      <c r="C59" s="7"/>
      <c r="D59" s="7"/>
      <c r="E59" s="7"/>
      <c r="F59" s="7"/>
      <c r="G59" s="7"/>
      <c r="H59" s="588"/>
      <c r="I59" s="589"/>
      <c r="J59" s="590"/>
      <c r="K59" s="590"/>
      <c r="L59" s="591"/>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t="s">
        <v>787</v>
      </c>
      <c r="I60" s="622">
        <f>AVERAGE(I55:I58)</f>
        <v>0.68</v>
      </c>
      <c r="J60" s="622">
        <f t="shared" ref="J60:L60" si="2">AVERAGE(J55:J58)</f>
        <v>0.77</v>
      </c>
      <c r="K60" s="622">
        <f t="shared" si="2"/>
        <v>0.85</v>
      </c>
      <c r="L60" s="622">
        <f t="shared" si="2"/>
        <v>0.95</v>
      </c>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t="s">
        <v>788</v>
      </c>
      <c r="I61" s="622">
        <f>I60</f>
        <v>0.68</v>
      </c>
      <c r="J61" s="622">
        <f t="shared" ref="J61:L61" si="3">J60</f>
        <v>0.77</v>
      </c>
      <c r="K61" s="622">
        <f t="shared" si="3"/>
        <v>0.85</v>
      </c>
      <c r="L61" s="622">
        <f t="shared" si="3"/>
        <v>0.95</v>
      </c>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thickBot="1" x14ac:dyDescent="0.3">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571" t="s">
        <v>117</v>
      </c>
      <c r="I65" s="572" t="s">
        <v>789</v>
      </c>
      <c r="J65" s="572"/>
      <c r="K65" s="572"/>
      <c r="L65" s="573"/>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thickBot="1" x14ac:dyDescent="0.3">
      <c r="A66" s="7"/>
      <c r="B66" s="7"/>
      <c r="C66" s="7"/>
      <c r="D66" s="581"/>
      <c r="E66" s="7"/>
      <c r="F66" s="7"/>
      <c r="G66" s="7"/>
      <c r="H66" s="574" t="s">
        <v>94</v>
      </c>
      <c r="I66" s="575">
        <v>12</v>
      </c>
      <c r="J66" s="575">
        <v>24</v>
      </c>
      <c r="K66" s="575">
        <v>36</v>
      </c>
      <c r="L66" s="576">
        <v>48</v>
      </c>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577">
        <v>2013</v>
      </c>
      <c r="I67" s="583">
        <f>I$11/((1+$B$40)^($H$11-$H8))</f>
        <v>320.30111151603489</v>
      </c>
      <c r="J67" s="584">
        <f>J$10/((1+$B$40)^($H$10-$H8))</f>
        <v>318.87755102040813</v>
      </c>
      <c r="K67" s="579">
        <f>K9/(1+$B$40)</f>
        <v>312.49999999999994</v>
      </c>
      <c r="L67" s="580">
        <f>L8</f>
        <v>310</v>
      </c>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581"/>
      <c r="E68" s="7"/>
      <c r="F68" s="7"/>
      <c r="G68" s="7"/>
      <c r="H68" s="582">
        <v>2014</v>
      </c>
      <c r="I68" s="583">
        <f>I$11/((1+$B$40)^($H$11-$H9))</f>
        <v>358.73724489795916</v>
      </c>
      <c r="J68" s="584">
        <f>J$10/((1+$B$40)^($H$10-$H9))</f>
        <v>357.14285714285711</v>
      </c>
      <c r="K68" s="584">
        <f>K9</f>
        <v>350</v>
      </c>
      <c r="L68" s="585">
        <f>L8*(1+$B$40)</f>
        <v>347.20000000000005</v>
      </c>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582">
        <v>2015</v>
      </c>
      <c r="I69" s="583">
        <f>I$11/((1+$B$40)^($H$11-$H10))</f>
        <v>401.78571428571422</v>
      </c>
      <c r="J69" s="584">
        <f>J$10/((1+$B$40)^($H$10-$H10))</f>
        <v>400</v>
      </c>
      <c r="K69" s="584">
        <f>K9*(1+$B$40)</f>
        <v>392.00000000000006</v>
      </c>
      <c r="L69" s="585"/>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582">
        <v>2016</v>
      </c>
      <c r="I70" s="583">
        <f>I11</f>
        <v>450</v>
      </c>
      <c r="J70" s="583">
        <f>J10*(1+B40)</f>
        <v>448.00000000000006</v>
      </c>
      <c r="K70" s="584"/>
      <c r="L70" s="585"/>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thickBot="1" x14ac:dyDescent="0.3">
      <c r="A71" s="7"/>
      <c r="B71" s="7"/>
      <c r="C71" s="7"/>
      <c r="D71" s="7"/>
      <c r="E71" s="7"/>
      <c r="F71" s="7"/>
      <c r="G71" s="7"/>
      <c r="H71" s="588">
        <v>2017</v>
      </c>
      <c r="I71" s="589">
        <f>(1+B40)*I11</f>
        <v>504.00000000000006</v>
      </c>
      <c r="J71" s="590"/>
      <c r="K71" s="590"/>
      <c r="L71" s="591"/>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thickBot="1" x14ac:dyDescent="0.3">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571" t="s">
        <v>117</v>
      </c>
      <c r="I74" s="572" t="s">
        <v>790</v>
      </c>
      <c r="J74" s="572"/>
      <c r="K74" s="572"/>
      <c r="L74" s="573"/>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thickBot="1" x14ac:dyDescent="0.3">
      <c r="A75" s="7"/>
      <c r="B75" s="7"/>
      <c r="C75" s="7"/>
      <c r="D75" s="7"/>
      <c r="E75" s="7"/>
      <c r="F75" s="7"/>
      <c r="G75" s="7"/>
      <c r="H75" s="574" t="s">
        <v>94</v>
      </c>
      <c r="I75" s="575">
        <v>12</v>
      </c>
      <c r="J75" s="575">
        <v>24</v>
      </c>
      <c r="K75" s="575">
        <v>36</v>
      </c>
      <c r="L75" s="576">
        <v>48</v>
      </c>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thickBot="1" x14ac:dyDescent="0.3">
      <c r="A76" s="7"/>
      <c r="B76" s="7"/>
      <c r="C76" s="7"/>
      <c r="D76" s="7"/>
      <c r="E76" s="7"/>
      <c r="F76" s="7"/>
      <c r="G76" s="7"/>
      <c r="H76" s="577">
        <v>2013</v>
      </c>
      <c r="I76" s="578">
        <f>(C25-(I$61*$I25))</f>
        <v>193.59999999999991</v>
      </c>
      <c r="J76" s="578">
        <f t="shared" ref="J76:L76" si="4">(D25-(J$61*$I25))</f>
        <v>210.39999999999986</v>
      </c>
      <c r="K76" s="578">
        <f t="shared" si="4"/>
        <v>142</v>
      </c>
      <c r="L76" s="578">
        <f t="shared" si="4"/>
        <v>44</v>
      </c>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thickBot="1" x14ac:dyDescent="0.3">
      <c r="A77" s="7"/>
      <c r="B77" s="7"/>
      <c r="C77" s="7"/>
      <c r="D77" s="7"/>
      <c r="E77" s="7"/>
      <c r="F77" s="7"/>
      <c r="G77" s="7"/>
      <c r="H77" s="582">
        <v>2014</v>
      </c>
      <c r="I77" s="578">
        <f t="shared" ref="I77:L80" si="5">(C26-(I$61*$I26))</f>
        <v>237.99999999999989</v>
      </c>
      <c r="J77" s="578">
        <f t="shared" si="5"/>
        <v>225</v>
      </c>
      <c r="K77" s="578">
        <f t="shared" si="5"/>
        <v>145</v>
      </c>
      <c r="L77" s="578">
        <f t="shared" si="5"/>
        <v>35</v>
      </c>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thickBot="1" x14ac:dyDescent="0.3">
      <c r="A78" s="7"/>
      <c r="B78" s="7"/>
      <c r="C78" s="7"/>
      <c r="D78" s="7"/>
      <c r="E78" s="7"/>
      <c r="F78" s="7"/>
      <c r="G78" s="7"/>
      <c r="H78" s="582">
        <v>2015</v>
      </c>
      <c r="I78" s="578">
        <f t="shared" si="5"/>
        <v>222.69999999999982</v>
      </c>
      <c r="J78" s="578">
        <f t="shared" si="5"/>
        <v>207.29999999999995</v>
      </c>
      <c r="K78" s="578">
        <f t="shared" si="5"/>
        <v>116.5</v>
      </c>
      <c r="L78" s="578"/>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thickBot="1" x14ac:dyDescent="0.3">
      <c r="A79" s="7"/>
      <c r="B79" s="7"/>
      <c r="C79" s="7"/>
      <c r="D79" s="7"/>
      <c r="E79" s="7"/>
      <c r="F79" s="7"/>
      <c r="G79" s="7"/>
      <c r="H79" s="582">
        <v>2016</v>
      </c>
      <c r="I79" s="578">
        <f t="shared" si="5"/>
        <v>259.59999999999991</v>
      </c>
      <c r="J79" s="578">
        <f t="shared" si="5"/>
        <v>171.89999999999986</v>
      </c>
      <c r="K79" s="584"/>
      <c r="L79" s="585"/>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thickBot="1" x14ac:dyDescent="0.3">
      <c r="A80" s="7"/>
      <c r="B80" s="7"/>
      <c r="C80" s="7"/>
      <c r="D80" s="7"/>
      <c r="E80" s="7"/>
      <c r="F80" s="7"/>
      <c r="G80" s="7"/>
      <c r="H80" s="588">
        <v>2017</v>
      </c>
      <c r="I80" s="578">
        <f t="shared" si="5"/>
        <v>262</v>
      </c>
      <c r="J80" s="590"/>
      <c r="K80" s="590"/>
      <c r="L80" s="591"/>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thickBot="1" x14ac:dyDescent="0.3">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571"/>
      <c r="I83" s="572" t="s">
        <v>770</v>
      </c>
      <c r="J83" s="572"/>
      <c r="K83" s="572"/>
      <c r="L83" s="573"/>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594" t="s">
        <v>117</v>
      </c>
      <c r="I84" s="600" t="s">
        <v>791</v>
      </c>
      <c r="J84" s="600"/>
      <c r="K84" s="600"/>
      <c r="L84" s="601"/>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thickBot="1" x14ac:dyDescent="0.3">
      <c r="A85" s="7"/>
      <c r="B85" s="7"/>
      <c r="C85" s="7"/>
      <c r="D85" s="7"/>
      <c r="E85" s="7"/>
      <c r="F85" s="7"/>
      <c r="G85" s="7"/>
      <c r="H85" s="574" t="s">
        <v>94</v>
      </c>
      <c r="I85" s="575">
        <v>12</v>
      </c>
      <c r="J85" s="575">
        <v>24</v>
      </c>
      <c r="K85" s="575">
        <v>36</v>
      </c>
      <c r="L85" s="576">
        <v>48</v>
      </c>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thickBot="1" x14ac:dyDescent="0.3">
      <c r="A86" s="7"/>
      <c r="B86" s="7"/>
      <c r="C86" s="7"/>
      <c r="D86" s="7"/>
      <c r="E86" s="7"/>
      <c r="F86" s="7"/>
      <c r="G86" s="7"/>
      <c r="H86" s="577">
        <v>2013</v>
      </c>
      <c r="I86" s="578">
        <f>(I67*I76)+C34</f>
        <v>212010.29518950434</v>
      </c>
      <c r="J86" s="578">
        <f t="shared" ref="J86:L86" si="6">(J67*J76)+D34</f>
        <v>517091.83673469385</v>
      </c>
      <c r="K86" s="578">
        <f t="shared" si="6"/>
        <v>594375</v>
      </c>
      <c r="L86" s="578">
        <f t="shared" si="6"/>
        <v>633640</v>
      </c>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thickBot="1" x14ac:dyDescent="0.3">
      <c r="A87" s="7"/>
      <c r="B87" s="7"/>
      <c r="C87" s="7"/>
      <c r="D87" s="7"/>
      <c r="E87" s="7"/>
      <c r="F87" s="7"/>
      <c r="G87" s="7"/>
      <c r="H87" s="582">
        <v>2014</v>
      </c>
      <c r="I87" s="578">
        <f t="shared" ref="I87:K89" si="7">(I68*I77)+C35</f>
        <v>255379.46428571423</v>
      </c>
      <c r="J87" s="578">
        <f t="shared" si="7"/>
        <v>560357.14285714284</v>
      </c>
      <c r="K87" s="578">
        <f t="shared" si="7"/>
        <v>610750</v>
      </c>
      <c r="L87" s="578">
        <f>(L68*L77)+F35</f>
        <v>635795.76063216012</v>
      </c>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thickBot="1" x14ac:dyDescent="0.3">
      <c r="A88" s="7"/>
      <c r="B88" s="7"/>
      <c r="C88" s="7"/>
      <c r="D88" s="7"/>
      <c r="E88" s="7"/>
      <c r="F88" s="7"/>
      <c r="G88" s="7"/>
      <c r="H88" s="582">
        <v>2015</v>
      </c>
      <c r="I88" s="578">
        <f t="shared" si="7"/>
        <v>249477.67857142846</v>
      </c>
      <c r="J88" s="578">
        <f t="shared" si="7"/>
        <v>552920</v>
      </c>
      <c r="K88" s="578">
        <f>(K69*K78)+E36</f>
        <v>603560.23979152669</v>
      </c>
      <c r="L88" s="585"/>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thickBot="1" x14ac:dyDescent="0.3">
      <c r="A89" s="7"/>
      <c r="B89" s="7"/>
      <c r="C89" s="7"/>
      <c r="D89" s="7"/>
      <c r="E89" s="7"/>
      <c r="F89" s="7"/>
      <c r="G89" s="7"/>
      <c r="H89" s="582">
        <v>2016</v>
      </c>
      <c r="I89" s="578">
        <f t="shared" si="7"/>
        <v>296819.99999999994</v>
      </c>
      <c r="J89" s="578">
        <f t="shared" si="7"/>
        <v>654930.01729201945</v>
      </c>
      <c r="K89" s="584"/>
      <c r="L89" s="585"/>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thickBot="1" x14ac:dyDescent="0.3">
      <c r="A90" s="7"/>
      <c r="B90" s="7"/>
      <c r="C90" s="7"/>
      <c r="D90" s="7"/>
      <c r="E90" s="7"/>
      <c r="F90" s="7"/>
      <c r="G90" s="7"/>
      <c r="H90" s="588">
        <v>2017</v>
      </c>
      <c r="I90" s="578">
        <f>(I71*I80)+C38</f>
        <v>294097.30225147918</v>
      </c>
      <c r="J90" s="590"/>
      <c r="K90" s="590"/>
      <c r="L90" s="591"/>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t="s">
        <v>792</v>
      </c>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thickBot="1" x14ac:dyDescent="0.3">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571" t="s">
        <v>117</v>
      </c>
      <c r="I98" s="572" t="s">
        <v>793</v>
      </c>
      <c r="J98" s="572"/>
      <c r="K98" s="572"/>
      <c r="L98" s="573"/>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thickBot="1" x14ac:dyDescent="0.3">
      <c r="A99" s="7"/>
      <c r="B99" s="7"/>
      <c r="C99" s="7"/>
      <c r="D99" s="7"/>
      <c r="E99" s="7"/>
      <c r="F99" s="7"/>
      <c r="G99" s="7"/>
      <c r="H99" s="574" t="s">
        <v>94</v>
      </c>
      <c r="I99" s="623" t="s">
        <v>149</v>
      </c>
      <c r="J99" s="623" t="s">
        <v>150</v>
      </c>
      <c r="K99" s="623" t="s">
        <v>151</v>
      </c>
      <c r="L99" s="576"/>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thickBot="1" x14ac:dyDescent="0.3">
      <c r="A100" s="7"/>
      <c r="B100" s="7"/>
      <c r="C100" s="7"/>
      <c r="D100" s="7"/>
      <c r="E100" s="7"/>
      <c r="F100" s="7"/>
      <c r="G100" s="7"/>
      <c r="H100" s="577">
        <v>2013</v>
      </c>
      <c r="I100" s="621">
        <f>J86/I86</f>
        <v>2.438993994477928</v>
      </c>
      <c r="J100" s="621">
        <f t="shared" ref="J100:K101" si="8">K86/J86</f>
        <v>1.1494573260976815</v>
      </c>
      <c r="K100" s="621">
        <f t="shared" si="8"/>
        <v>1.0660609884332282</v>
      </c>
      <c r="L100" s="58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thickBot="1" x14ac:dyDescent="0.3">
      <c r="A101" s="7"/>
      <c r="B101" s="7"/>
      <c r="C101" s="7"/>
      <c r="D101" s="7"/>
      <c r="E101" s="7"/>
      <c r="F101" s="7"/>
      <c r="G101" s="7"/>
      <c r="H101" s="582">
        <v>2014</v>
      </c>
      <c r="I101" s="621">
        <f>J87/I87</f>
        <v>2.1942137925006557</v>
      </c>
      <c r="J101" s="621">
        <f t="shared" si="8"/>
        <v>1.089929891650733</v>
      </c>
      <c r="K101" s="621">
        <f t="shared" si="8"/>
        <v>1.041008204064118</v>
      </c>
      <c r="L101" s="585"/>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thickBot="1" x14ac:dyDescent="0.3">
      <c r="A102" s="7"/>
      <c r="B102" s="7"/>
      <c r="C102" s="7"/>
      <c r="D102" s="7"/>
      <c r="E102" s="7"/>
      <c r="F102" s="7"/>
      <c r="G102" s="7"/>
      <c r="H102" s="582">
        <v>2015</v>
      </c>
      <c r="I102" s="621">
        <f t="shared" ref="I102:J102" si="9">J88/I88</f>
        <v>2.2163105058783539</v>
      </c>
      <c r="J102" s="621">
        <f t="shared" si="9"/>
        <v>1.0915869199731005</v>
      </c>
      <c r="K102" s="584"/>
      <c r="L102" s="585"/>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582">
        <v>2016</v>
      </c>
      <c r="I103" s="621">
        <f>J89/I89</f>
        <v>2.2064888393370379</v>
      </c>
      <c r="J103" s="584"/>
      <c r="K103" s="584"/>
      <c r="L103" s="585"/>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thickBot="1" x14ac:dyDescent="0.3">
      <c r="A104" s="7"/>
      <c r="B104" s="7"/>
      <c r="C104" s="7"/>
      <c r="D104" s="7"/>
      <c r="E104" s="7"/>
      <c r="F104" s="7"/>
      <c r="G104" s="7"/>
      <c r="H104" s="588" t="s">
        <v>794</v>
      </c>
      <c r="I104" s="624">
        <f>AVERAGE(I100:I103)</f>
        <v>2.264001783048494</v>
      </c>
      <c r="J104" s="624">
        <f>AVERAGE(J100:J103)</f>
        <v>1.1103247125738385</v>
      </c>
      <c r="K104" s="624">
        <f>AVERAGE(K100:K103)</f>
        <v>1.0535345962486731</v>
      </c>
      <c r="L104" s="591"/>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t="s">
        <v>795</v>
      </c>
      <c r="I105" s="622">
        <f>I104</f>
        <v>2.264001783048494</v>
      </c>
      <c r="J105" s="622">
        <f>J104</f>
        <v>1.1103247125738385</v>
      </c>
      <c r="K105" s="622">
        <f>K104</f>
        <v>1.0535345962486731</v>
      </c>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t="s">
        <v>258</v>
      </c>
      <c r="I106" s="7">
        <f>I105*J105*K105</f>
        <v>2.6483511726917452</v>
      </c>
      <c r="J106" s="20">
        <f>J105*K105</f>
        <v>1.1697654977664029</v>
      </c>
      <c r="K106" s="313">
        <f>K105</f>
        <v>1.0535345962486731</v>
      </c>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t="s">
        <v>796</v>
      </c>
      <c r="I108" s="625">
        <f>I106*I90</f>
        <v>778872.93530318351</v>
      </c>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x14ac:dyDescent="0.25"/>
    <row r="202" spans="1:52" ht="14.85" hidden="1" customHeight="1" x14ac:dyDescent="0.25"/>
    <row r="203" spans="1:52" ht="14.85" hidden="1" customHeight="1" x14ac:dyDescent="0.25"/>
    <row r="204" spans="1:52" s="2" customFormat="1" ht="14.85" hidden="1" customHeight="1" x14ac:dyDescent="0.25">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x14ac:dyDescent="0.25">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x14ac:dyDescent="0.25">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x14ac:dyDescent="0.25">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x14ac:dyDescent="0.25">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x14ac:dyDescent="0.25">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x14ac:dyDescent="0.25">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x14ac:dyDescent="0.25">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x14ac:dyDescent="0.25">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x14ac:dyDescent="0.25">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x14ac:dyDescent="0.25">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x14ac:dyDescent="0.25">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x14ac:dyDescent="0.25">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x14ac:dyDescent="0.25">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x14ac:dyDescent="0.25">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x14ac:dyDescent="0.25">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x14ac:dyDescent="0.25">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x14ac:dyDescent="0.25">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x14ac:dyDescent="0.25">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x14ac:dyDescent="0.25">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x14ac:dyDescent="0.25">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x14ac:dyDescent="0.25">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x14ac:dyDescent="0.25">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x14ac:dyDescent="0.25">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x14ac:dyDescent="0.25">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x14ac:dyDescent="0.25">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x14ac:dyDescent="0.25">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x14ac:dyDescent="0.25">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x14ac:dyDescent="0.25">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x14ac:dyDescent="0.25">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x14ac:dyDescent="0.25">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x14ac:dyDescent="0.25">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x14ac:dyDescent="0.25">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x14ac:dyDescent="0.25">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x14ac:dyDescent="0.25">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x14ac:dyDescent="0.25">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x14ac:dyDescent="0.25">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x14ac:dyDescent="0.25">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x14ac:dyDescent="0.25">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x14ac:dyDescent="0.25">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x14ac:dyDescent="0.25">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x14ac:dyDescent="0.25">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x14ac:dyDescent="0.25">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x14ac:dyDescent="0.25">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x14ac:dyDescent="0.25">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x14ac:dyDescent="0.25">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x14ac:dyDescent="0.25">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x14ac:dyDescent="0.25">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x14ac:dyDescent="0.25">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x14ac:dyDescent="0.25">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x14ac:dyDescent="0.25">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x14ac:dyDescent="0.25">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x14ac:dyDescent="0.25">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x14ac:dyDescent="0.25">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x14ac:dyDescent="0.25">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x14ac:dyDescent="0.25">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x14ac:dyDescent="0.25">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x14ac:dyDescent="0.25">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x14ac:dyDescent="0.25">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x14ac:dyDescent="0.25">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x14ac:dyDescent="0.25">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x14ac:dyDescent="0.25">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x14ac:dyDescent="0.25">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x14ac:dyDescent="0.25">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x14ac:dyDescent="0.25">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x14ac:dyDescent="0.25">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x14ac:dyDescent="0.25">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x14ac:dyDescent="0.25"/>
    <row r="272" spans="1:52" ht="0" hidden="1" customHeight="1" x14ac:dyDescent="0.25"/>
    <row r="273" ht="0" hidden="1" customHeight="1" x14ac:dyDescent="0.25"/>
    <row r="274" ht="0" hidden="1" customHeight="1" x14ac:dyDescent="0.25"/>
    <row r="275" ht="0" hidden="1" customHeight="1" x14ac:dyDescent="0.25"/>
  </sheetData>
  <conditionalFormatting sqref="B1">
    <cfRule type="cellIs" dxfId="53" priority="1" operator="equal">
      <formula>"Review Later"</formula>
    </cfRule>
    <cfRule type="cellIs" dxfId="52" priority="2" operator="equal">
      <formula>"Finished"</formula>
    </cfRule>
    <cfRule type="cellIs" dxfId="51" priority="3" operator="equal">
      <formula>"Incomplete"</formula>
    </cfRule>
  </conditionalFormatting>
  <pageMargins left="0.7" right="0.7" top="0.75" bottom="0.75" header="0.51180555555555496" footer="0.51180555555555496"/>
  <pageSetup firstPageNumber="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C275"/>
  <sheetViews>
    <sheetView zoomScaleNormal="100" zoomScalePageLayoutView="55" workbookViewId="0"/>
  </sheetViews>
  <sheetFormatPr defaultColWidth="0" defaultRowHeight="0" customHeight="1" zeroHeight="1" x14ac:dyDescent="0.25"/>
  <cols>
    <col min="1" max="1" width="11.6640625" style="1" customWidth="1"/>
    <col min="2" max="2" width="15.44140625" style="1" customWidth="1"/>
    <col min="3" max="6" width="12.44140625" style="1" customWidth="1"/>
    <col min="7" max="7" width="11.109375" style="1" customWidth="1"/>
    <col min="8" max="8" width="10.6640625" style="1" customWidth="1"/>
    <col min="9" max="9" width="12.44140625" style="1" customWidth="1"/>
    <col min="10" max="12" width="12.44140625" style="21" customWidth="1"/>
    <col min="13" max="13" width="10.6640625" style="21" customWidth="1"/>
    <col min="14" max="15" width="10.6640625" style="1" customWidth="1"/>
    <col min="16" max="16" width="29.88671875" style="1" customWidth="1"/>
    <col min="17" max="17" width="19.44140625" style="1" customWidth="1"/>
    <col min="18" max="52" width="10.6640625" style="1" customWidth="1"/>
    <col min="53" max="55" width="0" style="1" hidden="1" customWidth="1"/>
    <col min="56" max="16384" width="10.6640625" style="1" hidden="1"/>
  </cols>
  <sheetData>
    <row r="1" spans="1:52" ht="14.85" customHeight="1" thickBot="1" x14ac:dyDescent="0.3">
      <c r="A1" s="3">
        <v>21</v>
      </c>
      <c r="B1" s="4"/>
      <c r="C1" s="5"/>
      <c r="D1" s="5"/>
      <c r="E1" s="5"/>
      <c r="F1" s="5"/>
      <c r="G1" s="5"/>
      <c r="H1" s="5"/>
      <c r="I1" s="5"/>
      <c r="J1" s="5"/>
      <c r="K1" s="5"/>
      <c r="L1" s="5"/>
      <c r="M1" s="5"/>
      <c r="N1" s="5"/>
      <c r="O1" s="6"/>
      <c r="P1" s="7"/>
      <c r="Q1" s="7"/>
      <c r="R1" s="7"/>
      <c r="S1" s="7"/>
      <c r="T1" s="7"/>
      <c r="U1" s="7"/>
      <c r="V1" s="7"/>
      <c r="W1" s="7"/>
    </row>
    <row r="2" spans="1:52" ht="14.85" customHeight="1" x14ac:dyDescent="0.25">
      <c r="A2" s="8" t="s">
        <v>4</v>
      </c>
      <c r="B2" s="9"/>
      <c r="C2" s="9"/>
      <c r="D2" s="9"/>
      <c r="E2" s="9"/>
      <c r="F2" s="9"/>
      <c r="G2" s="9"/>
      <c r="H2" s="9"/>
      <c r="I2" s="9"/>
      <c r="J2" s="9"/>
      <c r="K2" s="9"/>
      <c r="L2" s="9"/>
      <c r="M2" s="9"/>
      <c r="N2" s="9"/>
      <c r="O2" s="10"/>
      <c r="P2" s="7"/>
      <c r="Q2" s="7"/>
      <c r="R2" s="7"/>
      <c r="S2" s="7"/>
      <c r="T2" s="7"/>
      <c r="U2" s="7"/>
      <c r="V2" s="7"/>
      <c r="W2" s="7"/>
    </row>
    <row r="3" spans="1:52" ht="14.85" customHeight="1" x14ac:dyDescent="0.25">
      <c r="A3" s="11">
        <v>2.5</v>
      </c>
      <c r="B3" s="9"/>
      <c r="C3" s="9"/>
      <c r="D3" s="9"/>
      <c r="E3" s="9"/>
      <c r="F3" s="9"/>
      <c r="G3" s="9"/>
      <c r="H3" s="9"/>
      <c r="I3" s="9"/>
      <c r="J3" s="9"/>
      <c r="K3" s="9"/>
      <c r="L3" s="9"/>
      <c r="M3" s="9"/>
      <c r="N3" s="9"/>
      <c r="O3" s="10"/>
      <c r="P3" s="244" t="s">
        <v>280</v>
      </c>
      <c r="Q3" s="7"/>
      <c r="R3" s="7"/>
      <c r="S3" s="7"/>
      <c r="T3" s="7"/>
      <c r="U3" s="7"/>
      <c r="V3" s="7"/>
      <c r="W3" s="7"/>
    </row>
    <row r="4" spans="1:52" ht="14.85" customHeight="1" x14ac:dyDescent="0.25">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x14ac:dyDescent="0.3">
      <c r="A5" s="570"/>
      <c r="B5" s="15"/>
      <c r="C5" s="25"/>
      <c r="D5" s="25"/>
      <c r="E5" s="25"/>
      <c r="F5" s="25"/>
      <c r="G5" s="25"/>
      <c r="H5" s="25"/>
      <c r="I5" s="25"/>
      <c r="J5" s="25"/>
      <c r="K5" s="25"/>
      <c r="L5" s="25"/>
      <c r="M5" s="25"/>
      <c r="N5" s="25"/>
      <c r="O5" s="26"/>
      <c r="P5" s="7"/>
      <c r="Q5" s="7"/>
      <c r="R5" s="7"/>
      <c r="S5" s="7"/>
      <c r="T5" s="7"/>
      <c r="U5" s="7"/>
      <c r="V5" s="7"/>
      <c r="W5" s="7"/>
    </row>
    <row r="6" spans="1:52" ht="14.4" customHeight="1" x14ac:dyDescent="0.25">
      <c r="A6" s="570"/>
      <c r="B6" s="571" t="s">
        <v>117</v>
      </c>
      <c r="C6" s="572" t="s">
        <v>759</v>
      </c>
      <c r="D6" s="572"/>
      <c r="E6" s="572"/>
      <c r="F6" s="573"/>
      <c r="G6" s="25"/>
      <c r="H6" s="571" t="s">
        <v>117</v>
      </c>
      <c r="I6" s="572" t="s">
        <v>760</v>
      </c>
      <c r="J6" s="572"/>
      <c r="K6" s="572"/>
      <c r="L6" s="573"/>
      <c r="M6" s="25"/>
      <c r="N6" s="25"/>
      <c r="O6" s="26"/>
      <c r="P6" s="7" t="s">
        <v>797</v>
      </c>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x14ac:dyDescent="0.3">
      <c r="A7" s="570"/>
      <c r="B7" s="574" t="s">
        <v>94</v>
      </c>
      <c r="C7" s="575">
        <v>12</v>
      </c>
      <c r="D7" s="575">
        <v>24</v>
      </c>
      <c r="E7" s="575">
        <v>36</v>
      </c>
      <c r="F7" s="576">
        <v>48</v>
      </c>
      <c r="G7" s="25"/>
      <c r="H7" s="574" t="s">
        <v>94</v>
      </c>
      <c r="I7" s="575">
        <v>12</v>
      </c>
      <c r="J7" s="575">
        <v>24</v>
      </c>
      <c r="K7" s="575">
        <v>36</v>
      </c>
      <c r="L7" s="576">
        <v>48</v>
      </c>
      <c r="M7" s="25"/>
      <c r="N7" s="25"/>
      <c r="O7" s="26"/>
      <c r="P7" s="7" t="s">
        <v>798</v>
      </c>
      <c r="Q7" s="7">
        <f>I7</f>
        <v>12</v>
      </c>
      <c r="R7" s="7">
        <f t="shared" ref="R7:T7" si="0">J7</f>
        <v>24</v>
      </c>
      <c r="S7" s="7">
        <f t="shared" si="0"/>
        <v>36</v>
      </c>
      <c r="T7" s="7">
        <f t="shared" si="0"/>
        <v>48</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x14ac:dyDescent="0.25">
      <c r="A8" s="570"/>
      <c r="B8" s="577">
        <v>2013</v>
      </c>
      <c r="C8" s="578">
        <v>150000</v>
      </c>
      <c r="D8" s="579">
        <v>450000</v>
      </c>
      <c r="E8" s="579">
        <v>550000</v>
      </c>
      <c r="F8" s="580">
        <v>620000</v>
      </c>
      <c r="G8" s="25"/>
      <c r="H8" s="577">
        <v>2013</v>
      </c>
      <c r="I8" s="578">
        <v>300</v>
      </c>
      <c r="J8" s="579">
        <v>320</v>
      </c>
      <c r="K8" s="579">
        <v>290</v>
      </c>
      <c r="L8" s="580">
        <v>310</v>
      </c>
      <c r="M8" s="25"/>
      <c r="N8" s="25"/>
      <c r="O8" s="26"/>
      <c r="P8" s="7">
        <f t="shared" ref="P8:P11" si="1">H8</f>
        <v>2013</v>
      </c>
      <c r="Q8" s="7">
        <f t="shared" ref="Q8:R9" si="2">Q9/1.12</f>
        <v>320.30111151603489</v>
      </c>
      <c r="R8" s="7">
        <f t="shared" si="2"/>
        <v>318.87755102040808</v>
      </c>
      <c r="S8" s="7">
        <f>S9/1.12</f>
        <v>312.49999999999994</v>
      </c>
      <c r="T8" s="581">
        <f>L8</f>
        <v>310</v>
      </c>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570"/>
      <c r="B9" s="582">
        <v>2014</v>
      </c>
      <c r="C9" s="583">
        <v>170000</v>
      </c>
      <c r="D9" s="584">
        <v>480000</v>
      </c>
      <c r="E9" s="584">
        <v>560000</v>
      </c>
      <c r="F9" s="585">
        <v>590000</v>
      </c>
      <c r="G9" s="25"/>
      <c r="H9" s="582">
        <v>2014</v>
      </c>
      <c r="I9" s="583">
        <v>320</v>
      </c>
      <c r="J9" s="584">
        <v>310</v>
      </c>
      <c r="K9" s="584">
        <v>350</v>
      </c>
      <c r="L9" s="585">
        <v>200</v>
      </c>
      <c r="M9" s="25"/>
      <c r="N9" s="25"/>
      <c r="O9" s="26"/>
      <c r="P9" s="7">
        <f t="shared" si="1"/>
        <v>2014</v>
      </c>
      <c r="Q9" s="7">
        <f t="shared" si="2"/>
        <v>358.7372448979591</v>
      </c>
      <c r="R9" s="7">
        <f t="shared" si="2"/>
        <v>357.14285714285711</v>
      </c>
      <c r="S9" s="581">
        <f>K9</f>
        <v>350</v>
      </c>
      <c r="T9" s="7">
        <f>T8*1.12</f>
        <v>347.20000000000005</v>
      </c>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x14ac:dyDescent="0.25">
      <c r="A10" s="570"/>
      <c r="B10" s="582">
        <v>2015</v>
      </c>
      <c r="C10" s="583">
        <v>160000</v>
      </c>
      <c r="D10" s="584">
        <v>470000</v>
      </c>
      <c r="E10" s="584">
        <v>510000</v>
      </c>
      <c r="F10" s="585"/>
      <c r="G10" s="25"/>
      <c r="H10" s="582">
        <v>2015</v>
      </c>
      <c r="I10" s="583">
        <v>310</v>
      </c>
      <c r="J10" s="584">
        <v>400</v>
      </c>
      <c r="K10" s="584">
        <v>250</v>
      </c>
      <c r="L10" s="585"/>
      <c r="M10" s="25"/>
      <c r="N10" s="25"/>
      <c r="O10" s="26"/>
      <c r="P10" s="7">
        <f t="shared" si="1"/>
        <v>2015</v>
      </c>
      <c r="Q10" s="7">
        <f>Q11/1.12</f>
        <v>401.78571428571422</v>
      </c>
      <c r="R10" s="581">
        <f>J10</f>
        <v>400</v>
      </c>
      <c r="S10" s="7">
        <f>S9*1.12</f>
        <v>392.00000000000006</v>
      </c>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x14ac:dyDescent="0.25">
      <c r="A11" s="570"/>
      <c r="B11" s="582">
        <v>2016</v>
      </c>
      <c r="C11" s="583">
        <v>180000</v>
      </c>
      <c r="D11" s="584">
        <v>270000</v>
      </c>
      <c r="E11" s="584"/>
      <c r="F11" s="585"/>
      <c r="G11" s="25"/>
      <c r="H11" s="582">
        <v>2016</v>
      </c>
      <c r="I11" s="583">
        <v>450</v>
      </c>
      <c r="J11" s="584">
        <v>190</v>
      </c>
      <c r="K11" s="584"/>
      <c r="L11" s="585"/>
      <c r="M11" s="586"/>
      <c r="N11" s="586"/>
      <c r="O11" s="587"/>
      <c r="P11" s="7">
        <f t="shared" si="1"/>
        <v>2016</v>
      </c>
      <c r="Q11" s="581">
        <f>I11</f>
        <v>450</v>
      </c>
      <c r="R11" s="7">
        <f>R10*1.12</f>
        <v>448.00000000000006</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570"/>
      <c r="B12" s="588">
        <v>2017</v>
      </c>
      <c r="C12" s="589">
        <v>90000</v>
      </c>
      <c r="D12" s="590"/>
      <c r="E12" s="590"/>
      <c r="F12" s="591"/>
      <c r="G12" s="25"/>
      <c r="H12" s="588">
        <v>2017</v>
      </c>
      <c r="I12" s="589">
        <v>120</v>
      </c>
      <c r="J12" s="590"/>
      <c r="K12" s="590"/>
      <c r="L12" s="591"/>
      <c r="M12" s="586"/>
      <c r="N12" s="586"/>
      <c r="O12" s="587"/>
      <c r="P12" s="7">
        <f>H12</f>
        <v>2017</v>
      </c>
      <c r="Q12" s="7">
        <f>Q11*1.12</f>
        <v>504.00000000000006</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x14ac:dyDescent="0.3">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x14ac:dyDescent="0.25">
      <c r="A14" s="570"/>
      <c r="B14" s="571" t="s">
        <v>117</v>
      </c>
      <c r="C14" s="572" t="s">
        <v>762</v>
      </c>
      <c r="D14" s="572"/>
      <c r="E14" s="572"/>
      <c r="F14" s="573"/>
      <c r="G14" s="25"/>
      <c r="H14" s="571" t="s">
        <v>117</v>
      </c>
      <c r="I14" s="572" t="s">
        <v>763</v>
      </c>
      <c r="J14" s="572"/>
      <c r="K14" s="572"/>
      <c r="L14" s="573"/>
      <c r="M14" s="586"/>
      <c r="N14" s="586"/>
      <c r="O14" s="587"/>
      <c r="P14" s="7" t="s">
        <v>799</v>
      </c>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x14ac:dyDescent="0.3">
      <c r="A15" s="570"/>
      <c r="B15" s="574" t="s">
        <v>94</v>
      </c>
      <c r="C15" s="575">
        <v>12</v>
      </c>
      <c r="D15" s="575">
        <v>24</v>
      </c>
      <c r="E15" s="575">
        <v>36</v>
      </c>
      <c r="F15" s="576">
        <v>48</v>
      </c>
      <c r="G15" s="25"/>
      <c r="H15" s="574" t="s">
        <v>94</v>
      </c>
      <c r="I15" s="575">
        <v>12</v>
      </c>
      <c r="J15" s="575">
        <v>24</v>
      </c>
      <c r="K15" s="575">
        <v>36</v>
      </c>
      <c r="L15" s="576">
        <v>48</v>
      </c>
      <c r="M15" s="586"/>
      <c r="N15" s="586"/>
      <c r="O15" s="587"/>
      <c r="P15" s="7" t="str">
        <f>P7</f>
        <v>ay</v>
      </c>
      <c r="Q15" s="7">
        <f t="shared" ref="Q15:T15" si="3">Q7</f>
        <v>12</v>
      </c>
      <c r="R15" s="7">
        <f t="shared" si="3"/>
        <v>24</v>
      </c>
      <c r="S15" s="7">
        <f t="shared" si="3"/>
        <v>36</v>
      </c>
      <c r="T15" s="7">
        <f t="shared" si="3"/>
        <v>48</v>
      </c>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t="s">
        <v>800</v>
      </c>
      <c r="Q16" s="7">
        <f>I19/I28</f>
        <v>0.68</v>
      </c>
      <c r="R16" s="7">
        <f>J18/I27</f>
        <v>0.77</v>
      </c>
      <c r="S16" s="7">
        <f>K17/I26</f>
        <v>0.85</v>
      </c>
      <c r="T16" s="7">
        <f>L16/I25</f>
        <v>0.95</v>
      </c>
      <c r="U16" s="7"/>
      <c r="V16" s="7" t="s">
        <v>801</v>
      </c>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t="s">
        <v>802</v>
      </c>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t="str">
        <f>P7</f>
        <v>ay</v>
      </c>
      <c r="Q19" s="7">
        <f t="shared" ref="Q19:T19" si="4">Q7</f>
        <v>12</v>
      </c>
      <c r="R19" s="7">
        <f t="shared" si="4"/>
        <v>24</v>
      </c>
      <c r="S19" s="7">
        <f t="shared" si="4"/>
        <v>36</v>
      </c>
      <c r="T19" s="7">
        <f t="shared" si="4"/>
        <v>48</v>
      </c>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x14ac:dyDescent="0.3">
      <c r="A20" s="570"/>
      <c r="B20" s="588">
        <v>2017</v>
      </c>
      <c r="C20" s="589">
        <v>810</v>
      </c>
      <c r="D20" s="590"/>
      <c r="E20" s="590"/>
      <c r="F20" s="591"/>
      <c r="G20" s="25"/>
      <c r="H20" s="588">
        <v>2017</v>
      </c>
      <c r="I20" s="589">
        <v>540</v>
      </c>
      <c r="J20" s="590"/>
      <c r="K20" s="590"/>
      <c r="L20" s="591"/>
      <c r="M20" s="586"/>
      <c r="N20" s="586"/>
      <c r="O20" s="587"/>
      <c r="P20" s="7">
        <f t="shared" ref="P20:P24" si="5">P8</f>
        <v>2013</v>
      </c>
      <c r="Q20" s="530">
        <f>Q16*I25</f>
        <v>1006.4000000000001</v>
      </c>
      <c r="R20" s="530">
        <f>R16*I25</f>
        <v>1139.6000000000001</v>
      </c>
      <c r="S20" s="530">
        <f>I25*S16</f>
        <v>1258</v>
      </c>
      <c r="T20" s="530">
        <f>T16*I25</f>
        <v>1406</v>
      </c>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x14ac:dyDescent="0.3">
      <c r="A21" s="570"/>
      <c r="B21" s="592"/>
      <c r="C21" s="584"/>
      <c r="D21" s="584"/>
      <c r="E21" s="584"/>
      <c r="F21" s="584"/>
      <c r="G21" s="25"/>
      <c r="H21" s="586"/>
      <c r="I21" s="586"/>
      <c r="J21" s="586"/>
      <c r="K21" s="586"/>
      <c r="L21" s="586"/>
      <c r="M21" s="586"/>
      <c r="N21" s="586"/>
      <c r="O21" s="587"/>
      <c r="P21" s="7">
        <f t="shared" si="5"/>
        <v>2014</v>
      </c>
      <c r="Q21" s="530">
        <f>Q16*I26</f>
        <v>1020.0000000000001</v>
      </c>
      <c r="R21" s="530">
        <f>R16*I26</f>
        <v>1155</v>
      </c>
      <c r="S21" s="530">
        <f>I26*S16</f>
        <v>1275</v>
      </c>
      <c r="T21" s="530">
        <f>T16*I26</f>
        <v>1425</v>
      </c>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x14ac:dyDescent="0.3">
      <c r="A22" s="570"/>
      <c r="B22" s="592"/>
      <c r="C22" s="592"/>
      <c r="D22" s="592"/>
      <c r="E22" s="592"/>
      <c r="F22" s="592"/>
      <c r="G22" s="592"/>
      <c r="H22" s="571"/>
      <c r="I22" s="593" t="s">
        <v>675</v>
      </c>
      <c r="J22" s="586"/>
      <c r="K22" s="586"/>
      <c r="L22" s="586"/>
      <c r="M22" s="586"/>
      <c r="N22" s="586"/>
      <c r="O22" s="587"/>
      <c r="P22" s="7">
        <f t="shared" si="5"/>
        <v>2015</v>
      </c>
      <c r="Q22" s="530">
        <f>Q16*I27</f>
        <v>1026.8000000000002</v>
      </c>
      <c r="R22" s="530">
        <f>R16*I27</f>
        <v>1162.7</v>
      </c>
      <c r="S22" s="530">
        <f>I27*S16</f>
        <v>1283.5</v>
      </c>
      <c r="T22" s="530"/>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570"/>
      <c r="B23" s="571" t="s">
        <v>117</v>
      </c>
      <c r="C23" s="572" t="s">
        <v>766</v>
      </c>
      <c r="D23" s="572"/>
      <c r="E23" s="572"/>
      <c r="F23" s="573"/>
      <c r="G23" s="592"/>
      <c r="H23" s="594" t="s">
        <v>117</v>
      </c>
      <c r="I23" s="595" t="s">
        <v>767</v>
      </c>
      <c r="J23" s="586"/>
      <c r="K23" s="586"/>
      <c r="L23" s="586"/>
      <c r="M23" s="586"/>
      <c r="N23" s="586"/>
      <c r="O23" s="587"/>
      <c r="P23" s="7">
        <f t="shared" si="5"/>
        <v>2016</v>
      </c>
      <c r="Q23" s="530">
        <f>Q16*I28</f>
        <v>1040.4000000000001</v>
      </c>
      <c r="R23" s="530">
        <f>R16*I28</f>
        <v>1178.1000000000001</v>
      </c>
      <c r="S23" s="530"/>
      <c r="T23" s="530"/>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x14ac:dyDescent="0.3">
      <c r="A24" s="570"/>
      <c r="B24" s="574" t="s">
        <v>94</v>
      </c>
      <c r="C24" s="575">
        <v>12</v>
      </c>
      <c r="D24" s="575">
        <v>24</v>
      </c>
      <c r="E24" s="575">
        <v>36</v>
      </c>
      <c r="F24" s="576">
        <v>48</v>
      </c>
      <c r="G24" s="592"/>
      <c r="H24" s="574" t="s">
        <v>94</v>
      </c>
      <c r="I24" s="596" t="s">
        <v>768</v>
      </c>
      <c r="J24" s="586"/>
      <c r="K24" s="586"/>
      <c r="L24" s="586"/>
      <c r="M24" s="586"/>
      <c r="N24" s="586"/>
      <c r="O24" s="587"/>
      <c r="P24" s="7">
        <f t="shared" si="5"/>
        <v>2017</v>
      </c>
      <c r="Q24" s="530">
        <f>Q16*I29</f>
        <v>1088</v>
      </c>
      <c r="R24" s="530"/>
      <c r="S24" s="530"/>
      <c r="T24" s="530"/>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x14ac:dyDescent="0.25">
      <c r="A25" s="570"/>
      <c r="B25" s="577">
        <v>2013</v>
      </c>
      <c r="C25" s="578">
        <v>1200</v>
      </c>
      <c r="D25" s="579">
        <v>1350</v>
      </c>
      <c r="E25" s="579">
        <v>1400</v>
      </c>
      <c r="F25" s="580">
        <v>1450</v>
      </c>
      <c r="G25" s="592"/>
      <c r="H25" s="577">
        <v>2013</v>
      </c>
      <c r="I25" s="597">
        <v>1480</v>
      </c>
      <c r="J25" s="586"/>
      <c r="K25" s="586"/>
      <c r="L25" s="586"/>
      <c r="M25" s="586"/>
      <c r="N25" s="586"/>
      <c r="O25" s="58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570"/>
      <c r="B26" s="582">
        <v>2014</v>
      </c>
      <c r="C26" s="583">
        <v>1258</v>
      </c>
      <c r="D26" s="584">
        <v>1380</v>
      </c>
      <c r="E26" s="584">
        <v>1420</v>
      </c>
      <c r="F26" s="585">
        <v>1460</v>
      </c>
      <c r="G26" s="592"/>
      <c r="H26" s="582">
        <v>2014</v>
      </c>
      <c r="I26" s="598">
        <v>1500</v>
      </c>
      <c r="J26" s="586"/>
      <c r="K26" s="586"/>
      <c r="L26" s="586"/>
      <c r="M26" s="586"/>
      <c r="N26" s="586"/>
      <c r="O26" s="587"/>
      <c r="P26" s="7" t="s">
        <v>803</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570"/>
      <c r="B27" s="582">
        <v>2015</v>
      </c>
      <c r="C27" s="583">
        <v>1249.5</v>
      </c>
      <c r="D27" s="584">
        <v>1370</v>
      </c>
      <c r="E27" s="584">
        <v>1400</v>
      </c>
      <c r="F27" s="585"/>
      <c r="G27" s="592"/>
      <c r="H27" s="582">
        <v>2015</v>
      </c>
      <c r="I27" s="598">
        <v>1510</v>
      </c>
      <c r="J27" s="586"/>
      <c r="K27" s="586"/>
      <c r="L27" s="586"/>
      <c r="M27" s="586"/>
      <c r="N27" s="586"/>
      <c r="O27" s="587"/>
      <c r="P27" s="7" t="str">
        <f>P19</f>
        <v>ay</v>
      </c>
      <c r="Q27" s="7">
        <f t="shared" ref="Q27:T27" si="6">Q19</f>
        <v>12</v>
      </c>
      <c r="R27" s="7">
        <f t="shared" si="6"/>
        <v>24</v>
      </c>
      <c r="S27" s="7">
        <f t="shared" si="6"/>
        <v>36</v>
      </c>
      <c r="T27" s="7">
        <f t="shared" si="6"/>
        <v>48</v>
      </c>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570"/>
      <c r="B28" s="582">
        <v>2016</v>
      </c>
      <c r="C28" s="583">
        <v>1300</v>
      </c>
      <c r="D28" s="584">
        <v>1350</v>
      </c>
      <c r="E28" s="584"/>
      <c r="F28" s="585"/>
      <c r="G28" s="592"/>
      <c r="H28" s="582">
        <v>2016</v>
      </c>
      <c r="I28" s="598">
        <v>1530</v>
      </c>
      <c r="J28" s="586"/>
      <c r="K28" s="586"/>
      <c r="L28" s="586"/>
      <c r="M28" s="586"/>
      <c r="N28" s="586"/>
      <c r="O28" s="587"/>
      <c r="P28" s="7">
        <f t="shared" ref="P28:P32" si="7">P20</f>
        <v>2013</v>
      </c>
      <c r="Q28" s="581">
        <f>C25-Q20</f>
        <v>193.59999999999991</v>
      </c>
      <c r="R28" s="581">
        <f t="shared" ref="R28:T28" si="8">D25-R20</f>
        <v>210.39999999999986</v>
      </c>
      <c r="S28" s="581">
        <f t="shared" si="8"/>
        <v>142</v>
      </c>
      <c r="T28" s="581">
        <f t="shared" si="8"/>
        <v>44</v>
      </c>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x14ac:dyDescent="0.3">
      <c r="A29" s="570"/>
      <c r="B29" s="588">
        <v>2017</v>
      </c>
      <c r="C29" s="589">
        <v>1350</v>
      </c>
      <c r="D29" s="590"/>
      <c r="E29" s="590"/>
      <c r="F29" s="591"/>
      <c r="G29" s="592"/>
      <c r="H29" s="588">
        <v>2017</v>
      </c>
      <c r="I29" s="599">
        <v>1600</v>
      </c>
      <c r="J29" s="586"/>
      <c r="K29" s="586"/>
      <c r="L29" s="586"/>
      <c r="M29" s="586"/>
      <c r="N29" s="586"/>
      <c r="O29" s="587"/>
      <c r="P29" s="7">
        <f t="shared" si="7"/>
        <v>2014</v>
      </c>
      <c r="Q29" s="581">
        <f t="shared" ref="Q29:S31" si="9">C26-Q21</f>
        <v>237.99999999999989</v>
      </c>
      <c r="R29" s="581">
        <f t="shared" si="9"/>
        <v>225</v>
      </c>
      <c r="S29" s="581">
        <f t="shared" si="9"/>
        <v>145</v>
      </c>
      <c r="T29" s="581">
        <f>F26-T21</f>
        <v>35</v>
      </c>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x14ac:dyDescent="0.3">
      <c r="A30" s="570"/>
      <c r="B30" s="592"/>
      <c r="C30" s="584"/>
      <c r="D30" s="584"/>
      <c r="E30" s="584"/>
      <c r="F30" s="584"/>
      <c r="G30" s="592"/>
      <c r="H30" s="586"/>
      <c r="I30" s="586"/>
      <c r="J30" s="586"/>
      <c r="K30" s="586"/>
      <c r="L30" s="586"/>
      <c r="M30" s="586"/>
      <c r="N30" s="586"/>
      <c r="O30" s="587"/>
      <c r="P30" s="7">
        <f t="shared" si="7"/>
        <v>2015</v>
      </c>
      <c r="Q30" s="581">
        <f t="shared" si="9"/>
        <v>222.69999999999982</v>
      </c>
      <c r="R30" s="581">
        <f t="shared" si="9"/>
        <v>207.29999999999995</v>
      </c>
      <c r="S30" s="581">
        <f t="shared" si="9"/>
        <v>116.5</v>
      </c>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570"/>
      <c r="B31" s="571"/>
      <c r="C31" s="572" t="s">
        <v>770</v>
      </c>
      <c r="D31" s="572"/>
      <c r="E31" s="572"/>
      <c r="F31" s="573"/>
      <c r="G31" s="592"/>
      <c r="H31" s="586"/>
      <c r="I31" s="586"/>
      <c r="J31" s="586"/>
      <c r="K31" s="586"/>
      <c r="L31" s="586"/>
      <c r="M31" s="586"/>
      <c r="N31" s="586"/>
      <c r="O31" s="587"/>
      <c r="P31" s="7">
        <f t="shared" si="7"/>
        <v>2016</v>
      </c>
      <c r="Q31" s="581">
        <f t="shared" si="9"/>
        <v>259.59999999999991</v>
      </c>
      <c r="R31" s="581">
        <f t="shared" si="9"/>
        <v>171.89999999999986</v>
      </c>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570"/>
      <c r="B32" s="594" t="s">
        <v>117</v>
      </c>
      <c r="C32" s="600" t="s">
        <v>771</v>
      </c>
      <c r="D32" s="600"/>
      <c r="E32" s="600"/>
      <c r="F32" s="601"/>
      <c r="G32" s="592"/>
      <c r="H32" s="586"/>
      <c r="I32" s="586"/>
      <c r="J32" s="586"/>
      <c r="K32" s="586"/>
      <c r="L32" s="586"/>
      <c r="M32" s="586"/>
      <c r="N32" s="586"/>
      <c r="O32" s="587"/>
      <c r="P32" s="7">
        <f t="shared" si="7"/>
        <v>2017</v>
      </c>
      <c r="Q32" s="581">
        <f>C29-Q24</f>
        <v>262</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x14ac:dyDescent="0.3">
      <c r="A33" s="570"/>
      <c r="B33" s="574" t="s">
        <v>94</v>
      </c>
      <c r="C33" s="575">
        <v>12</v>
      </c>
      <c r="D33" s="575">
        <v>24</v>
      </c>
      <c r="E33" s="575">
        <v>36</v>
      </c>
      <c r="F33" s="576">
        <v>48</v>
      </c>
      <c r="G33" s="602"/>
      <c r="H33" s="586"/>
      <c r="I33" s="586"/>
      <c r="J33" s="586"/>
      <c r="K33" s="586"/>
      <c r="L33" s="586"/>
      <c r="M33" s="586"/>
      <c r="N33" s="586"/>
      <c r="O33" s="58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570"/>
      <c r="B34" s="577">
        <v>2013</v>
      </c>
      <c r="C34" s="578">
        <v>150000</v>
      </c>
      <c r="D34" s="579">
        <v>450000</v>
      </c>
      <c r="E34" s="579">
        <v>550000</v>
      </c>
      <c r="F34" s="580">
        <v>620000</v>
      </c>
      <c r="G34" s="602"/>
      <c r="H34" s="586"/>
      <c r="I34" s="586"/>
      <c r="J34" s="586"/>
      <c r="K34" s="586"/>
      <c r="L34" s="586"/>
      <c r="M34" s="586"/>
      <c r="N34" s="586"/>
      <c r="O34" s="587"/>
      <c r="P34" s="7" t="s">
        <v>804</v>
      </c>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570"/>
      <c r="B35" s="582">
        <v>2014</v>
      </c>
      <c r="C35" s="583">
        <v>170000</v>
      </c>
      <c r="D35" s="584">
        <v>480000</v>
      </c>
      <c r="E35" s="584">
        <v>560000</v>
      </c>
      <c r="F35" s="585">
        <v>623643.76063216012</v>
      </c>
      <c r="G35" s="603"/>
      <c r="H35" s="586"/>
      <c r="I35" s="586"/>
      <c r="J35" s="586"/>
      <c r="K35" s="586"/>
      <c r="L35" s="586"/>
      <c r="M35" s="586"/>
      <c r="N35" s="586"/>
      <c r="O35" s="587"/>
      <c r="P35" s="7" t="str">
        <f>P27</f>
        <v>ay</v>
      </c>
      <c r="Q35" s="7">
        <f t="shared" ref="Q35:T35" si="10">Q27</f>
        <v>12</v>
      </c>
      <c r="R35" s="7">
        <f t="shared" si="10"/>
        <v>24</v>
      </c>
      <c r="S35" s="7">
        <f t="shared" si="10"/>
        <v>36</v>
      </c>
      <c r="T35" s="7">
        <f t="shared" si="10"/>
        <v>48</v>
      </c>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570"/>
      <c r="B36" s="582">
        <v>2015</v>
      </c>
      <c r="C36" s="583">
        <v>160000</v>
      </c>
      <c r="D36" s="584">
        <v>470000</v>
      </c>
      <c r="E36" s="584">
        <v>557892.23979152669</v>
      </c>
      <c r="F36" s="585"/>
      <c r="G36" s="603"/>
      <c r="H36" s="586"/>
      <c r="I36" s="586"/>
      <c r="J36" s="586"/>
      <c r="K36" s="586"/>
      <c r="L36" s="586"/>
      <c r="M36" s="586"/>
      <c r="N36" s="586"/>
      <c r="O36" s="587"/>
      <c r="P36" s="7">
        <f t="shared" ref="P36:P40" si="11">P28</f>
        <v>2013</v>
      </c>
      <c r="Q36" s="453">
        <f>Q8*Q28+C34</f>
        <v>212010.29518950434</v>
      </c>
      <c r="R36" s="453">
        <f t="shared" ref="R36:T36" si="12">R8*R28+D34</f>
        <v>517091.83673469385</v>
      </c>
      <c r="S36" s="453">
        <f t="shared" si="12"/>
        <v>594375</v>
      </c>
      <c r="T36" s="453">
        <f t="shared" si="12"/>
        <v>633640</v>
      </c>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570"/>
      <c r="B37" s="582">
        <v>2016</v>
      </c>
      <c r="C37" s="583">
        <v>180000</v>
      </c>
      <c r="D37" s="584">
        <v>577918.81729201949</v>
      </c>
      <c r="E37" s="584"/>
      <c r="F37" s="585"/>
      <c r="G37" s="603"/>
      <c r="H37" s="586"/>
      <c r="I37" s="586"/>
      <c r="J37" s="586"/>
      <c r="K37" s="586"/>
      <c r="L37" s="586"/>
      <c r="M37" s="586"/>
      <c r="N37" s="586"/>
      <c r="O37" s="587"/>
      <c r="P37" s="7">
        <f t="shared" si="11"/>
        <v>2014</v>
      </c>
      <c r="Q37" s="453">
        <f t="shared" ref="Q37:S39" si="13">Q9*Q29+C35</f>
        <v>255379.46428571423</v>
      </c>
      <c r="R37" s="453">
        <f t="shared" si="13"/>
        <v>560357.14285714284</v>
      </c>
      <c r="S37" s="453">
        <f t="shared" si="13"/>
        <v>610750</v>
      </c>
      <c r="T37" s="453">
        <f>T9*T29+F35</f>
        <v>635795.76063216012</v>
      </c>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x14ac:dyDescent="0.3">
      <c r="A38" s="570"/>
      <c r="B38" s="588">
        <v>2017</v>
      </c>
      <c r="C38" s="589">
        <v>162049.30225147915</v>
      </c>
      <c r="D38" s="590"/>
      <c r="E38" s="590"/>
      <c r="F38" s="591"/>
      <c r="G38" s="603"/>
      <c r="H38" s="586"/>
      <c r="I38" s="586"/>
      <c r="J38" s="586"/>
      <c r="K38" s="586"/>
      <c r="L38" s="586"/>
      <c r="M38" s="586"/>
      <c r="N38" s="586"/>
      <c r="O38" s="587"/>
      <c r="P38" s="7">
        <f t="shared" si="11"/>
        <v>2015</v>
      </c>
      <c r="Q38" s="453">
        <f t="shared" si="13"/>
        <v>249477.67857142846</v>
      </c>
      <c r="R38" s="453">
        <f t="shared" si="13"/>
        <v>552920</v>
      </c>
      <c r="S38" s="453">
        <f t="shared" si="13"/>
        <v>603560.23979152669</v>
      </c>
      <c r="T38" s="453"/>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x14ac:dyDescent="0.3">
      <c r="A39" s="570"/>
      <c r="B39" s="15"/>
      <c r="C39" s="603"/>
      <c r="D39" s="603"/>
      <c r="E39" s="603"/>
      <c r="F39" s="603"/>
      <c r="G39" s="603"/>
      <c r="H39" s="586"/>
      <c r="I39" s="586"/>
      <c r="J39" s="586"/>
      <c r="K39" s="586"/>
      <c r="L39" s="586"/>
      <c r="M39" s="586"/>
      <c r="N39" s="586"/>
      <c r="O39" s="587"/>
      <c r="P39" s="7">
        <f t="shared" si="11"/>
        <v>2016</v>
      </c>
      <c r="Q39" s="453">
        <f t="shared" si="13"/>
        <v>296819.99999999994</v>
      </c>
      <c r="R39" s="453">
        <f t="shared" si="13"/>
        <v>654930.01729201945</v>
      </c>
      <c r="S39" s="453"/>
      <c r="T39" s="453"/>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570"/>
      <c r="B40" s="604">
        <v>0.12</v>
      </c>
      <c r="C40" s="605" t="s">
        <v>773</v>
      </c>
      <c r="D40" s="606"/>
      <c r="E40" s="606"/>
      <c r="F40" s="607"/>
      <c r="G40" s="603"/>
      <c r="H40" s="586"/>
      <c r="I40" s="586"/>
      <c r="J40" s="586"/>
      <c r="K40" s="586"/>
      <c r="L40" s="586"/>
      <c r="M40" s="586"/>
      <c r="N40" s="586"/>
      <c r="O40" s="587"/>
      <c r="P40" s="7">
        <f t="shared" si="11"/>
        <v>2017</v>
      </c>
      <c r="Q40" s="453">
        <f>Q12*Q32+C38</f>
        <v>294097.30225147918</v>
      </c>
      <c r="R40" s="453"/>
      <c r="S40" s="453"/>
      <c r="T40" s="453"/>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x14ac:dyDescent="0.3">
      <c r="A41" s="570"/>
      <c r="B41" s="608">
        <v>1.2</v>
      </c>
      <c r="C41" s="609" t="s">
        <v>774</v>
      </c>
      <c r="D41" s="610"/>
      <c r="E41" s="610"/>
      <c r="F41" s="611"/>
      <c r="G41" s="603"/>
      <c r="H41" s="586"/>
      <c r="I41" s="586"/>
      <c r="J41" s="586"/>
      <c r="K41" s="586"/>
      <c r="L41" s="586"/>
      <c r="M41" s="586"/>
      <c r="N41" s="586"/>
      <c r="O41" s="58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x14ac:dyDescent="0.25">
      <c r="A42" s="570"/>
      <c r="B42" s="15"/>
      <c r="C42" s="612"/>
      <c r="D42" s="613"/>
      <c r="E42" s="613"/>
      <c r="F42" s="465"/>
      <c r="G42" s="19"/>
      <c r="H42" s="612"/>
      <c r="I42" s="612"/>
      <c r="J42" s="612"/>
      <c r="K42" s="612"/>
      <c r="L42" s="612"/>
      <c r="M42" s="465"/>
      <c r="N42" s="465"/>
      <c r="O42" s="614"/>
      <c r="P42" s="7" t="s">
        <v>805</v>
      </c>
      <c r="Q42" s="452" t="s">
        <v>149</v>
      </c>
      <c r="R42" s="7" t="s">
        <v>150</v>
      </c>
      <c r="S42" s="7" t="s">
        <v>151</v>
      </c>
      <c r="T42" s="7" t="s">
        <v>806</v>
      </c>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x14ac:dyDescent="0.25">
      <c r="A43" s="570"/>
      <c r="B43" s="15" t="s">
        <v>775</v>
      </c>
      <c r="C43" s="19"/>
      <c r="D43" s="19"/>
      <c r="E43" s="19"/>
      <c r="F43" s="19"/>
      <c r="G43" s="19"/>
      <c r="H43" s="19"/>
      <c r="I43" s="19"/>
      <c r="J43" s="19"/>
      <c r="K43" s="19"/>
      <c r="L43" s="19"/>
      <c r="M43" s="19"/>
      <c r="N43" s="19"/>
      <c r="O43" s="615"/>
      <c r="P43" s="7">
        <f>P36</f>
        <v>2013</v>
      </c>
      <c r="Q43" s="7">
        <f>R36/Q36</f>
        <v>2.438993994477928</v>
      </c>
      <c r="R43" s="7">
        <f t="shared" ref="R43:S43" si="14">S36/R36</f>
        <v>1.1494573260976815</v>
      </c>
      <c r="S43" s="7">
        <f t="shared" si="14"/>
        <v>1.0660609884332282</v>
      </c>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x14ac:dyDescent="0.25">
      <c r="A44" s="570"/>
      <c r="B44" s="15" t="s">
        <v>776</v>
      </c>
      <c r="C44" s="19"/>
      <c r="D44" s="19"/>
      <c r="E44" s="19"/>
      <c r="F44" s="19"/>
      <c r="G44" s="19"/>
      <c r="H44" s="19"/>
      <c r="I44" s="19"/>
      <c r="J44" s="19"/>
      <c r="K44" s="19"/>
      <c r="L44" s="19"/>
      <c r="M44" s="19"/>
      <c r="N44" s="19"/>
      <c r="O44" s="615"/>
      <c r="P44" s="7">
        <f t="shared" ref="P44:P46" si="15">P37</f>
        <v>2014</v>
      </c>
      <c r="Q44" s="7">
        <f t="shared" ref="Q44:S45" si="16">R37/Q37</f>
        <v>2.1942137925006557</v>
      </c>
      <c r="R44" s="7">
        <f t="shared" si="16"/>
        <v>1.089929891650733</v>
      </c>
      <c r="S44" s="7">
        <f t="shared" si="16"/>
        <v>1.041008204064118</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570"/>
      <c r="B45" s="15" t="s">
        <v>777</v>
      </c>
      <c r="C45" s="19"/>
      <c r="D45" s="19"/>
      <c r="E45" s="19"/>
      <c r="F45" s="19"/>
      <c r="G45" s="19"/>
      <c r="H45" s="19"/>
      <c r="I45" s="19"/>
      <c r="J45" s="19"/>
      <c r="K45" s="19"/>
      <c r="L45" s="19"/>
      <c r="M45" s="19"/>
      <c r="N45" s="19"/>
      <c r="O45" s="615"/>
      <c r="P45" s="7">
        <f t="shared" si="15"/>
        <v>2015</v>
      </c>
      <c r="Q45" s="7">
        <f t="shared" si="16"/>
        <v>2.2163105058783539</v>
      </c>
      <c r="R45" s="7">
        <f t="shared" si="16"/>
        <v>1.0915869199731005</v>
      </c>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570"/>
      <c r="B46" s="15"/>
      <c r="C46" s="19"/>
      <c r="D46" s="19"/>
      <c r="E46" s="19"/>
      <c r="F46" s="19"/>
      <c r="G46" s="19"/>
      <c r="H46" s="19"/>
      <c r="I46" s="19"/>
      <c r="J46" s="19"/>
      <c r="K46" s="19"/>
      <c r="L46" s="19"/>
      <c r="M46" s="19"/>
      <c r="N46" s="19"/>
      <c r="O46" s="615"/>
      <c r="P46" s="7">
        <f t="shared" si="15"/>
        <v>2016</v>
      </c>
      <c r="Q46" s="7">
        <f>R39/Q39</f>
        <v>2.2064888393370379</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570"/>
      <c r="B47" s="15" t="s">
        <v>779</v>
      </c>
      <c r="C47" s="19"/>
      <c r="D47" s="19"/>
      <c r="E47" s="19"/>
      <c r="F47" s="19"/>
      <c r="G47" s="19"/>
      <c r="H47" s="19"/>
      <c r="I47" s="19"/>
      <c r="J47" s="19"/>
      <c r="K47" s="19"/>
      <c r="L47" s="19"/>
      <c r="M47" s="19"/>
      <c r="N47" s="19"/>
      <c r="O47" s="615"/>
      <c r="P47" s="7" t="s">
        <v>807</v>
      </c>
      <c r="Q47" s="7">
        <f>AVERAGE(Q43:Q46)</f>
        <v>2.264001783048494</v>
      </c>
      <c r="R47" s="7">
        <f t="shared" ref="R47:S47" si="17">AVERAGE(R43:R46)</f>
        <v>1.1103247125738385</v>
      </c>
      <c r="S47" s="7">
        <f t="shared" si="17"/>
        <v>1.0535345962486731</v>
      </c>
      <c r="T47" s="7">
        <v>1.1000000000000001</v>
      </c>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570"/>
      <c r="B48" s="15" t="s">
        <v>781</v>
      </c>
      <c r="C48" s="19"/>
      <c r="D48" s="19"/>
      <c r="E48" s="19"/>
      <c r="F48" s="19"/>
      <c r="G48" s="19"/>
      <c r="H48" s="19"/>
      <c r="I48" s="19"/>
      <c r="J48" s="19"/>
      <c r="K48" s="19"/>
      <c r="L48" s="19"/>
      <c r="M48" s="19"/>
      <c r="N48" s="19"/>
      <c r="O48" s="615"/>
      <c r="P48" s="20" t="s">
        <v>783</v>
      </c>
      <c r="Q48" s="20">
        <f t="shared" ref="Q48:R48" si="18">Q47*R48</f>
        <v>2.9131862899609198</v>
      </c>
      <c r="R48" s="20">
        <f t="shared" si="18"/>
        <v>1.2867420475430431</v>
      </c>
      <c r="S48" s="20">
        <f>S47*T48</f>
        <v>1.1588880558735404</v>
      </c>
      <c r="T48" s="20">
        <f>T47</f>
        <v>1.1000000000000001</v>
      </c>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x14ac:dyDescent="0.3">
      <c r="A49" s="616"/>
      <c r="B49" s="617"/>
      <c r="C49" s="618"/>
      <c r="D49" s="618"/>
      <c r="E49" s="618"/>
      <c r="F49" s="618"/>
      <c r="G49" s="29"/>
      <c r="H49" s="618"/>
      <c r="I49" s="618"/>
      <c r="J49" s="618"/>
      <c r="K49" s="618"/>
      <c r="L49" s="618"/>
      <c r="M49" s="618"/>
      <c r="N49" s="618"/>
      <c r="O49" s="619"/>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x14ac:dyDescent="0.25">
      <c r="A50" s="7"/>
      <c r="B50" s="7"/>
      <c r="C50" s="7" t="s">
        <v>808</v>
      </c>
      <c r="D50" s="7"/>
      <c r="E50" s="7"/>
      <c r="F50" s="7"/>
      <c r="G50" s="7"/>
      <c r="H50" s="7"/>
      <c r="I50" s="7"/>
      <c r="J50" s="20"/>
      <c r="K50" s="20"/>
      <c r="L50" s="20"/>
      <c r="M50" s="20"/>
      <c r="N50" s="7"/>
      <c r="O50" s="7"/>
      <c r="P50" s="7" t="s">
        <v>809</v>
      </c>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f>D34/C34</f>
        <v>3</v>
      </c>
      <c r="D51" s="7">
        <f t="shared" ref="D51:F51" si="19">E34/D34</f>
        <v>1.2222222222222223</v>
      </c>
      <c r="E51" s="7">
        <f t="shared" si="19"/>
        <v>1.1272727272727272</v>
      </c>
      <c r="F51" s="7">
        <f t="shared" si="19"/>
        <v>0</v>
      </c>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c r="B52" s="7"/>
      <c r="C52" s="7">
        <f t="shared" ref="C52:E53" si="20">D35/C35</f>
        <v>2.8235294117647061</v>
      </c>
      <c r="D52" s="7">
        <f t="shared" si="20"/>
        <v>1.1666666666666667</v>
      </c>
      <c r="E52" s="7">
        <f t="shared" si="20"/>
        <v>1.1136495725574287</v>
      </c>
      <c r="F52" s="7"/>
      <c r="G52" s="7"/>
      <c r="H52" s="7"/>
      <c r="I52" s="7"/>
      <c r="J52" s="20"/>
      <c r="K52" s="20"/>
      <c r="L52" s="20"/>
      <c r="M52" s="20"/>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f t="shared" si="20"/>
        <v>2.9375</v>
      </c>
      <c r="D53" s="7">
        <f t="shared" si="20"/>
        <v>1.1870047655138867</v>
      </c>
      <c r="E53" s="7"/>
      <c r="F53" s="7"/>
      <c r="G53" s="7"/>
      <c r="H53" s="7"/>
      <c r="I53" s="7"/>
      <c r="J53" s="20"/>
      <c r="K53" s="20"/>
      <c r="L53" s="20"/>
      <c r="M53" s="20"/>
      <c r="N53" s="7"/>
      <c r="O53" s="7"/>
      <c r="P53" s="7" t="s">
        <v>798</v>
      </c>
      <c r="Q53" s="7" t="s">
        <v>810</v>
      </c>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f>D37/C37</f>
        <v>3.2106600960667748</v>
      </c>
      <c r="D54" s="7"/>
      <c r="E54" s="7"/>
      <c r="F54" s="7"/>
      <c r="G54" s="7"/>
      <c r="H54" s="7"/>
      <c r="I54" s="7"/>
      <c r="J54" s="20"/>
      <c r="K54" s="20"/>
      <c r="L54" s="20"/>
      <c r="M54" s="20"/>
      <c r="N54" s="7"/>
      <c r="O54" s="7"/>
      <c r="P54" s="7">
        <v>2017</v>
      </c>
      <c r="Q54" s="626">
        <f>Q48*Q40</f>
        <v>856760.22883350193</v>
      </c>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f>AVERAGE(C51:C54)</f>
        <v>2.9929223769578703</v>
      </c>
      <c r="D55" s="7">
        <f t="shared" ref="D55:E55" si="21">AVERAGE(D51:D54)</f>
        <v>1.1919645514675921</v>
      </c>
      <c r="E55" s="7">
        <f t="shared" si="21"/>
        <v>1.1204611499150778</v>
      </c>
      <c r="F55" s="7">
        <v>1.2</v>
      </c>
      <c r="G55" s="7"/>
      <c r="H55" s="7"/>
      <c r="I55" s="7"/>
      <c r="J55" s="20"/>
      <c r="K55" s="20"/>
      <c r="L55" s="20"/>
      <c r="M55" s="20"/>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f t="shared" ref="C56:D56" si="22">C55*D56</f>
        <v>4.796636876076545</v>
      </c>
      <c r="D56" s="7">
        <f t="shared" si="22"/>
        <v>1.6026599663944656</v>
      </c>
      <c r="E56" s="7">
        <f>E55*F56</f>
        <v>1.3445533798980933</v>
      </c>
      <c r="F56" s="7">
        <f>F55</f>
        <v>1.2</v>
      </c>
      <c r="G56" s="7"/>
      <c r="H56" s="7"/>
      <c r="I56" s="7"/>
      <c r="J56" s="20"/>
      <c r="K56" s="20"/>
      <c r="L56" s="20"/>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20"/>
      <c r="K57" s="20"/>
      <c r="L57" s="20"/>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f>C56*C38</f>
        <v>777291.65892191883</v>
      </c>
      <c r="D58" s="7"/>
      <c r="E58" s="7"/>
      <c r="F58" s="7"/>
      <c r="G58" s="7"/>
      <c r="H58" s="7"/>
      <c r="I58" s="7"/>
      <c r="J58" s="20"/>
      <c r="K58" s="20"/>
      <c r="L58" s="20"/>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20"/>
      <c r="K59" s="20"/>
      <c r="L59" s="20"/>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20"/>
      <c r="K60" s="20"/>
      <c r="L60" s="20"/>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20"/>
      <c r="K61" s="20"/>
      <c r="L61" s="20"/>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20"/>
      <c r="K65" s="20"/>
      <c r="L65" s="20"/>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20"/>
      <c r="K66" s="20"/>
      <c r="L66" s="20"/>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20"/>
      <c r="K67" s="20"/>
      <c r="L67" s="20"/>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20"/>
      <c r="K68" s="20"/>
      <c r="L68" s="20"/>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20"/>
      <c r="K69" s="20"/>
      <c r="L69" s="20"/>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20"/>
      <c r="K70" s="20"/>
      <c r="L70" s="20"/>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20"/>
      <c r="K71" s="20"/>
      <c r="L71" s="20"/>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20"/>
      <c r="K74" s="20"/>
      <c r="L74" s="20"/>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20"/>
      <c r="K75" s="20"/>
      <c r="L75" s="20"/>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20"/>
      <c r="K76" s="20"/>
      <c r="L76" s="20"/>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20"/>
      <c r="K77" s="20"/>
      <c r="L77" s="20"/>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20"/>
      <c r="K78" s="20"/>
      <c r="L78" s="20"/>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20"/>
      <c r="K79" s="20"/>
      <c r="L79" s="20"/>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20"/>
      <c r="K80" s="20"/>
      <c r="L80" s="20"/>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20"/>
      <c r="K83" s="20"/>
      <c r="L83" s="20"/>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20"/>
      <c r="K84" s="20"/>
      <c r="L84" s="20"/>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20"/>
      <c r="K85" s="20"/>
      <c r="L85" s="20"/>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20"/>
      <c r="K86" s="20"/>
      <c r="L86" s="20"/>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20"/>
      <c r="K87" s="20"/>
      <c r="L87" s="20"/>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20"/>
      <c r="K88" s="20"/>
      <c r="L88" s="20"/>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20"/>
      <c r="K89" s="20"/>
      <c r="L89" s="20"/>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20"/>
      <c r="K90" s="20"/>
      <c r="L90" s="20"/>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20"/>
      <c r="K98" s="20"/>
      <c r="L98" s="20"/>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20"/>
      <c r="K99" s="20"/>
      <c r="L99" s="20"/>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20"/>
      <c r="K100" s="20"/>
      <c r="L100" s="2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20"/>
      <c r="K101" s="20"/>
      <c r="L101" s="20"/>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20"/>
      <c r="K102" s="20"/>
      <c r="L102" s="20"/>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20"/>
      <c r="K103" s="20"/>
      <c r="L103" s="20"/>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20"/>
      <c r="K104" s="20"/>
      <c r="L104" s="20"/>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20"/>
      <c r="K105" s="20"/>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20"/>
      <c r="K106" s="20"/>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x14ac:dyDescent="0.25">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x14ac:dyDescent="0.25">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x14ac:dyDescent="0.25">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x14ac:dyDescent="0.25">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x14ac:dyDescent="0.25">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x14ac:dyDescent="0.25"/>
    <row r="202" spans="1:52" ht="14.85" hidden="1" customHeight="1" x14ac:dyDescent="0.25"/>
    <row r="203" spans="1:52" ht="14.85" hidden="1" customHeight="1" x14ac:dyDescent="0.25"/>
    <row r="204" spans="1:52" s="2" customFormat="1" ht="14.85" hidden="1" customHeight="1" x14ac:dyDescent="0.25">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x14ac:dyDescent="0.25">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x14ac:dyDescent="0.25">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x14ac:dyDescent="0.25">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x14ac:dyDescent="0.25">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x14ac:dyDescent="0.25">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x14ac:dyDescent="0.25">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x14ac:dyDescent="0.25">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x14ac:dyDescent="0.25">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x14ac:dyDescent="0.25">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x14ac:dyDescent="0.25">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x14ac:dyDescent="0.25">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x14ac:dyDescent="0.25">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x14ac:dyDescent="0.25">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x14ac:dyDescent="0.25">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x14ac:dyDescent="0.25">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x14ac:dyDescent="0.25">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x14ac:dyDescent="0.25">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x14ac:dyDescent="0.25">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x14ac:dyDescent="0.25">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x14ac:dyDescent="0.25">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x14ac:dyDescent="0.25">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x14ac:dyDescent="0.25">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x14ac:dyDescent="0.25">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x14ac:dyDescent="0.25">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x14ac:dyDescent="0.25">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x14ac:dyDescent="0.25">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x14ac:dyDescent="0.25">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x14ac:dyDescent="0.25">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x14ac:dyDescent="0.25">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x14ac:dyDescent="0.25">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x14ac:dyDescent="0.25">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x14ac:dyDescent="0.25">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x14ac:dyDescent="0.25">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x14ac:dyDescent="0.25">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x14ac:dyDescent="0.25">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x14ac:dyDescent="0.25">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x14ac:dyDescent="0.25">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x14ac:dyDescent="0.25">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x14ac:dyDescent="0.25">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x14ac:dyDescent="0.25">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x14ac:dyDescent="0.25">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x14ac:dyDescent="0.25">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x14ac:dyDescent="0.25">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x14ac:dyDescent="0.25">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x14ac:dyDescent="0.25">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x14ac:dyDescent="0.25">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x14ac:dyDescent="0.25">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x14ac:dyDescent="0.25">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x14ac:dyDescent="0.25">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x14ac:dyDescent="0.25">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x14ac:dyDescent="0.25">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x14ac:dyDescent="0.25">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x14ac:dyDescent="0.25">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x14ac:dyDescent="0.25">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x14ac:dyDescent="0.25">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x14ac:dyDescent="0.25">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x14ac:dyDescent="0.25">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x14ac:dyDescent="0.25">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x14ac:dyDescent="0.25">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x14ac:dyDescent="0.25">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x14ac:dyDescent="0.25">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x14ac:dyDescent="0.25">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x14ac:dyDescent="0.25">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x14ac:dyDescent="0.25">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x14ac:dyDescent="0.25">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x14ac:dyDescent="0.25">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x14ac:dyDescent="0.25"/>
    <row r="272" spans="1:52" ht="0" hidden="1" customHeight="1" x14ac:dyDescent="0.25"/>
    <row r="273" ht="0" hidden="1" customHeight="1" x14ac:dyDescent="0.25"/>
    <row r="274" ht="0" hidden="1" customHeight="1" x14ac:dyDescent="0.25"/>
    <row r="275" ht="0" hidden="1" customHeight="1" x14ac:dyDescent="0.25"/>
  </sheetData>
  <conditionalFormatting sqref="B1">
    <cfRule type="cellIs" dxfId="50" priority="1" operator="equal">
      <formula>"Review Later"</formula>
    </cfRule>
    <cfRule type="cellIs" dxfId="49" priority="2" operator="equal">
      <formula>"Finished"</formula>
    </cfRule>
    <cfRule type="cellIs" dxfId="48" priority="3" operator="equal">
      <formula>"Incomplete"</formula>
    </cfRule>
  </conditionalFormatting>
  <pageMargins left="0.7" right="0.7" top="0.75" bottom="0.75" header="0.51180555555555496" footer="0.51180555555555496"/>
  <pageSetup firstPageNumber="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H217"/>
  <sheetViews>
    <sheetView zoomScaleNormal="100" workbookViewId="0"/>
  </sheetViews>
  <sheetFormatPr defaultColWidth="0" defaultRowHeight="13.8" zeroHeight="1" x14ac:dyDescent="0.25"/>
  <cols>
    <col min="1" max="1" width="12" style="21" customWidth="1"/>
    <col min="2" max="2" width="14.109375" style="21" customWidth="1"/>
    <col min="3" max="6" width="14" style="21" customWidth="1"/>
    <col min="7" max="52" width="11" style="21" customWidth="1"/>
    <col min="53" max="60" width="0" style="21" hidden="1" customWidth="1"/>
    <col min="61" max="16384" width="11" style="21" hidden="1"/>
  </cols>
  <sheetData>
    <row r="1" spans="1:52" ht="14.7" customHeight="1" thickBot="1" x14ac:dyDescent="0.3">
      <c r="A1" s="3">
        <v>22</v>
      </c>
      <c r="B1" s="4"/>
      <c r="C1" s="246"/>
      <c r="D1" s="246"/>
      <c r="E1" s="246"/>
      <c r="F1" s="246"/>
      <c r="G1" s="246"/>
      <c r="H1" s="246"/>
      <c r="I1" s="246"/>
      <c r="J1" s="246"/>
      <c r="K1" s="246"/>
      <c r="L1" s="247"/>
      <c r="M1" s="20"/>
      <c r="N1" s="20"/>
      <c r="O1" s="20"/>
      <c r="P1" s="20"/>
      <c r="Q1" s="20"/>
      <c r="R1" s="20"/>
      <c r="S1" s="20"/>
      <c r="T1" s="20"/>
      <c r="U1" s="20"/>
      <c r="V1" s="20"/>
      <c r="W1" s="20"/>
    </row>
    <row r="2" spans="1:52" ht="14.7" customHeight="1" x14ac:dyDescent="0.25">
      <c r="A2" s="8" t="s">
        <v>4</v>
      </c>
      <c r="B2" s="374"/>
      <c r="C2" s="374"/>
      <c r="D2" s="374"/>
      <c r="E2" s="374"/>
      <c r="F2" s="374"/>
      <c r="G2" s="374"/>
      <c r="H2" s="374"/>
      <c r="I2" s="374"/>
      <c r="J2" s="374"/>
      <c r="K2" s="374"/>
      <c r="L2" s="375"/>
      <c r="M2" s="20"/>
      <c r="N2" s="20"/>
      <c r="O2" s="20"/>
      <c r="P2" s="20"/>
      <c r="Q2" s="20"/>
      <c r="R2" s="20"/>
      <c r="S2" s="20"/>
      <c r="T2" s="20"/>
      <c r="U2" s="20"/>
      <c r="V2" s="20"/>
      <c r="W2" s="20"/>
    </row>
    <row r="3" spans="1:52" ht="14.7" customHeight="1" x14ac:dyDescent="0.25">
      <c r="A3" s="11">
        <v>2.5</v>
      </c>
      <c r="B3" s="9"/>
      <c r="C3" s="374"/>
      <c r="D3" s="374"/>
      <c r="E3" s="374"/>
      <c r="F3" s="374"/>
      <c r="G3" s="374"/>
      <c r="H3" s="374"/>
      <c r="I3" s="374"/>
      <c r="J3" s="374"/>
      <c r="K3" s="374"/>
      <c r="L3" s="375"/>
      <c r="M3" s="20"/>
      <c r="N3" s="20"/>
      <c r="O3" s="20"/>
      <c r="P3" s="20"/>
      <c r="Q3" s="20"/>
      <c r="R3" s="20"/>
      <c r="S3" s="20"/>
      <c r="T3" s="20"/>
      <c r="U3" s="20"/>
      <c r="V3" s="20"/>
      <c r="W3" s="20"/>
    </row>
    <row r="4" spans="1:52" ht="14.7" customHeight="1" x14ac:dyDescent="0.25">
      <c r="A4" s="11"/>
      <c r="B4" s="564" t="s">
        <v>193</v>
      </c>
      <c r="C4" s="374"/>
      <c r="D4" s="374"/>
      <c r="E4" s="374"/>
      <c r="F4" s="374"/>
      <c r="G4" s="374"/>
      <c r="H4" s="374"/>
      <c r="I4" s="374"/>
      <c r="J4" s="374"/>
      <c r="K4" s="374"/>
      <c r="L4" s="375"/>
      <c r="M4" s="20"/>
      <c r="N4" s="20"/>
      <c r="O4" s="20"/>
      <c r="P4" s="20"/>
      <c r="Q4" s="20"/>
      <c r="R4" s="20"/>
      <c r="S4" s="20"/>
      <c r="T4" s="20"/>
      <c r="U4" s="20"/>
      <c r="V4" s="20"/>
      <c r="W4" s="20"/>
    </row>
    <row r="5" spans="1:52" ht="14.7" customHeight="1" thickBot="1" x14ac:dyDescent="0.3">
      <c r="A5" s="11"/>
      <c r="B5" s="564"/>
      <c r="C5" s="374"/>
      <c r="D5" s="374"/>
      <c r="E5" s="374"/>
      <c r="F5" s="374"/>
      <c r="G5" s="374"/>
      <c r="H5" s="374"/>
      <c r="I5" s="374"/>
      <c r="J5" s="374"/>
      <c r="K5" s="374"/>
      <c r="L5" s="375"/>
      <c r="M5" s="20"/>
      <c r="N5" s="20"/>
      <c r="O5" s="20"/>
      <c r="P5" s="20"/>
      <c r="Q5" s="20"/>
      <c r="R5" s="20"/>
      <c r="S5" s="20"/>
      <c r="T5" s="20"/>
      <c r="U5" s="20"/>
      <c r="V5" s="20"/>
      <c r="W5" s="20"/>
    </row>
    <row r="6" spans="1:52" ht="14.7" customHeight="1" x14ac:dyDescent="0.25">
      <c r="A6" s="11"/>
      <c r="B6" s="325"/>
      <c r="C6" s="627" t="s">
        <v>811</v>
      </c>
      <c r="D6" s="627"/>
      <c r="E6" s="627"/>
      <c r="F6" s="628"/>
      <c r="G6" s="629"/>
      <c r="H6" s="374"/>
      <c r="I6" s="374"/>
      <c r="J6" s="374"/>
      <c r="K6" s="374"/>
      <c r="L6" s="375"/>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7" customHeight="1" x14ac:dyDescent="0.25">
      <c r="A7" s="11"/>
      <c r="B7" s="330" t="s">
        <v>117</v>
      </c>
      <c r="C7" s="630" t="s">
        <v>812</v>
      </c>
      <c r="D7" s="630"/>
      <c r="E7" s="630"/>
      <c r="F7" s="631"/>
      <c r="G7" s="629"/>
      <c r="H7" s="374"/>
      <c r="I7" s="374"/>
      <c r="J7" s="374"/>
      <c r="K7" s="374"/>
      <c r="L7" s="375"/>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7" customHeight="1" thickBot="1" x14ac:dyDescent="0.3">
      <c r="A8" s="11"/>
      <c r="B8" s="388" t="s">
        <v>94</v>
      </c>
      <c r="C8" s="632">
        <v>12</v>
      </c>
      <c r="D8" s="632">
        <v>24</v>
      </c>
      <c r="E8" s="632">
        <v>36</v>
      </c>
      <c r="F8" s="391">
        <v>48</v>
      </c>
      <c r="G8" s="374"/>
      <c r="H8" s="374"/>
      <c r="I8" s="374"/>
      <c r="J8" s="374"/>
      <c r="K8" s="374"/>
      <c r="L8" s="375"/>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7" customHeight="1" x14ac:dyDescent="0.25">
      <c r="A9" s="11"/>
      <c r="B9" s="38">
        <v>2014</v>
      </c>
      <c r="C9" s="386">
        <v>200</v>
      </c>
      <c r="D9" s="403">
        <v>400</v>
      </c>
      <c r="E9" s="403">
        <v>600</v>
      </c>
      <c r="F9" s="385">
        <v>720</v>
      </c>
      <c r="G9" s="374"/>
      <c r="H9" s="374"/>
      <c r="I9" s="374"/>
      <c r="J9" s="374"/>
      <c r="K9" s="374"/>
      <c r="L9" s="375"/>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7" customHeight="1" x14ac:dyDescent="0.25">
      <c r="A10" s="11"/>
      <c r="B10" s="38">
        <v>2015</v>
      </c>
      <c r="C10" s="386">
        <v>240</v>
      </c>
      <c r="D10" s="403">
        <v>480</v>
      </c>
      <c r="E10" s="403">
        <v>720</v>
      </c>
      <c r="F10" s="385"/>
      <c r="G10" s="374"/>
      <c r="H10" s="374"/>
      <c r="I10" s="374"/>
      <c r="J10" s="374"/>
      <c r="K10" s="374"/>
      <c r="L10" s="375"/>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7" customHeight="1" x14ac:dyDescent="0.25">
      <c r="A11" s="11"/>
      <c r="B11" s="38">
        <v>2016</v>
      </c>
      <c r="C11" s="386">
        <v>300</v>
      </c>
      <c r="D11" s="403">
        <v>600</v>
      </c>
      <c r="E11" s="403"/>
      <c r="F11" s="385"/>
      <c r="G11" s="374"/>
      <c r="H11" s="374"/>
      <c r="I11" s="374"/>
      <c r="J11" s="374"/>
      <c r="K11" s="374"/>
      <c r="L11" s="375"/>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7" customHeight="1" thickBot="1" x14ac:dyDescent="0.3">
      <c r="A12" s="11"/>
      <c r="B12" s="43">
        <v>2017</v>
      </c>
      <c r="C12" s="390">
        <v>350</v>
      </c>
      <c r="D12" s="407"/>
      <c r="E12" s="407"/>
      <c r="F12" s="389"/>
      <c r="G12" s="374"/>
      <c r="H12" s="374"/>
      <c r="I12" s="374"/>
      <c r="J12" s="374"/>
      <c r="K12" s="374"/>
      <c r="L12" s="375"/>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7" customHeight="1" thickBot="1" x14ac:dyDescent="0.3">
      <c r="A13" s="11"/>
      <c r="B13" s="629"/>
      <c r="C13" s="629"/>
      <c r="D13" s="629"/>
      <c r="E13" s="629"/>
      <c r="F13" s="629"/>
      <c r="G13" s="374"/>
      <c r="H13" s="374"/>
      <c r="I13" s="374"/>
      <c r="J13" s="374"/>
      <c r="K13" s="374"/>
      <c r="L13" s="375"/>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7" customHeight="1" x14ac:dyDescent="0.25">
      <c r="A14" s="11"/>
      <c r="B14" s="633">
        <v>1.1000000000000001</v>
      </c>
      <c r="C14" s="634" t="s">
        <v>813</v>
      </c>
      <c r="D14" s="635"/>
      <c r="E14" s="635"/>
      <c r="F14" s="635"/>
      <c r="G14" s="635"/>
      <c r="H14" s="636"/>
      <c r="I14" s="636"/>
      <c r="J14" s="499"/>
      <c r="K14" s="374"/>
      <c r="L14" s="375"/>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7" customHeight="1" thickBot="1" x14ac:dyDescent="0.3">
      <c r="A15" s="11"/>
      <c r="B15" s="637">
        <v>0.2</v>
      </c>
      <c r="C15" s="423" t="s">
        <v>814</v>
      </c>
      <c r="D15" s="638"/>
      <c r="E15" s="638"/>
      <c r="F15" s="638"/>
      <c r="G15" s="638"/>
      <c r="H15" s="423"/>
      <c r="I15" s="423"/>
      <c r="J15" s="424"/>
      <c r="K15" s="374"/>
      <c r="L15" s="375"/>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7" customHeight="1" thickBot="1" x14ac:dyDescent="0.3">
      <c r="A16" s="11"/>
      <c r="B16" s="395"/>
      <c r="C16" s="374"/>
      <c r="D16" s="629"/>
      <c r="E16" s="629"/>
      <c r="F16" s="629"/>
      <c r="G16" s="629"/>
      <c r="H16" s="374"/>
      <c r="I16" s="374"/>
      <c r="J16" s="374"/>
      <c r="K16" s="374"/>
      <c r="L16" s="375"/>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7" customHeight="1" x14ac:dyDescent="0.25">
      <c r="A17" s="11"/>
      <c r="B17" s="639"/>
      <c r="C17" s="640" t="s">
        <v>815</v>
      </c>
      <c r="D17" s="629"/>
      <c r="E17" s="629"/>
      <c r="F17" s="629"/>
      <c r="G17" s="374"/>
      <c r="H17" s="374"/>
      <c r="I17" s="374"/>
      <c r="J17" s="374"/>
      <c r="K17" s="374"/>
      <c r="L17" s="375"/>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7" customHeight="1" x14ac:dyDescent="0.25">
      <c r="A18" s="11"/>
      <c r="B18" s="384" t="s">
        <v>117</v>
      </c>
      <c r="C18" s="641" t="s">
        <v>816</v>
      </c>
      <c r="D18" s="629"/>
      <c r="E18" s="629"/>
      <c r="F18" s="629"/>
      <c r="G18" s="374"/>
      <c r="H18" s="374"/>
      <c r="I18" s="374"/>
      <c r="J18" s="374"/>
      <c r="K18" s="374"/>
      <c r="L18" s="37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7" customHeight="1" thickBot="1" x14ac:dyDescent="0.3">
      <c r="A19" s="11"/>
      <c r="B19" s="388" t="s">
        <v>94</v>
      </c>
      <c r="C19" s="642" t="s">
        <v>817</v>
      </c>
      <c r="D19" s="629"/>
      <c r="E19" s="629"/>
      <c r="F19" s="629"/>
      <c r="G19" s="374"/>
      <c r="H19" s="374"/>
      <c r="I19" s="374"/>
      <c r="J19" s="374"/>
      <c r="K19" s="374"/>
      <c r="L19" s="37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7" customHeight="1" x14ac:dyDescent="0.25">
      <c r="A20" s="11"/>
      <c r="B20" s="36">
        <v>2014</v>
      </c>
      <c r="C20" s="643">
        <v>700</v>
      </c>
      <c r="D20" s="629"/>
      <c r="E20" s="629"/>
      <c r="F20" s="629"/>
      <c r="G20" s="374"/>
      <c r="H20" s="374"/>
      <c r="I20" s="374"/>
      <c r="J20" s="374"/>
      <c r="K20" s="374"/>
      <c r="L20" s="375"/>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7" customHeight="1" x14ac:dyDescent="0.25">
      <c r="A21" s="11"/>
      <c r="B21" s="38">
        <v>2015</v>
      </c>
      <c r="C21" s="644">
        <v>750</v>
      </c>
      <c r="D21" s="629"/>
      <c r="E21" s="629"/>
      <c r="F21" s="629"/>
      <c r="G21" s="374"/>
      <c r="H21" s="374"/>
      <c r="I21" s="374"/>
      <c r="J21" s="374"/>
      <c r="K21" s="374"/>
      <c r="L21" s="375"/>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7" customHeight="1" x14ac:dyDescent="0.25">
      <c r="A22" s="11"/>
      <c r="B22" s="38">
        <v>2016</v>
      </c>
      <c r="C22" s="644">
        <v>900</v>
      </c>
      <c r="D22" s="629"/>
      <c r="E22" s="629"/>
      <c r="F22" s="629"/>
      <c r="G22" s="374"/>
      <c r="H22" s="374"/>
      <c r="I22" s="374"/>
      <c r="J22" s="374"/>
      <c r="K22" s="374"/>
      <c r="L22" s="375"/>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7" customHeight="1" thickBot="1" x14ac:dyDescent="0.3">
      <c r="A23" s="11"/>
      <c r="B23" s="43">
        <v>2017</v>
      </c>
      <c r="C23" s="645">
        <v>1000</v>
      </c>
      <c r="D23" s="629"/>
      <c r="E23" s="629"/>
      <c r="F23" s="629"/>
      <c r="G23" s="374"/>
      <c r="H23" s="374"/>
      <c r="I23" s="374"/>
      <c r="J23" s="374"/>
      <c r="K23" s="374"/>
      <c r="L23" s="375"/>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7" customHeight="1" x14ac:dyDescent="0.25">
      <c r="A24" s="11"/>
      <c r="B24" s="564"/>
      <c r="C24" s="393"/>
      <c r="D24" s="403"/>
      <c r="E24" s="646"/>
      <c r="F24" s="646"/>
      <c r="G24" s="629"/>
      <c r="H24" s="374"/>
      <c r="I24" s="374"/>
      <c r="J24" s="374"/>
      <c r="K24" s="374"/>
      <c r="L24" s="375"/>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7" customHeight="1" x14ac:dyDescent="0.25">
      <c r="A25" s="11"/>
      <c r="B25" s="374" t="s">
        <v>818</v>
      </c>
      <c r="C25" s="629"/>
      <c r="D25" s="629"/>
      <c r="E25" s="629"/>
      <c r="F25" s="629"/>
      <c r="G25" s="629"/>
      <c r="H25" s="374"/>
      <c r="I25" s="374"/>
      <c r="J25" s="374"/>
      <c r="K25" s="374"/>
      <c r="L25" s="375"/>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7" customHeight="1" x14ac:dyDescent="0.25">
      <c r="A26" s="11"/>
      <c r="B26" s="374" t="s">
        <v>819</v>
      </c>
      <c r="C26" s="374"/>
      <c r="D26" s="374"/>
      <c r="E26" s="374"/>
      <c r="F26" s="374"/>
      <c r="G26" s="374"/>
      <c r="H26" s="374"/>
      <c r="I26" s="374"/>
      <c r="J26" s="374"/>
      <c r="K26" s="374"/>
      <c r="L26" s="375"/>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7" customHeight="1" x14ac:dyDescent="0.25">
      <c r="A27" s="11"/>
      <c r="B27" s="374"/>
      <c r="C27" s="374"/>
      <c r="D27" s="374"/>
      <c r="E27" s="374"/>
      <c r="F27" s="374"/>
      <c r="G27" s="374"/>
      <c r="H27" s="374"/>
      <c r="I27" s="374"/>
      <c r="J27" s="374"/>
      <c r="K27" s="374"/>
      <c r="L27" s="375"/>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7" customHeight="1" x14ac:dyDescent="0.25">
      <c r="A28" s="11">
        <v>1.25</v>
      </c>
      <c r="B28" s="374" t="s">
        <v>10</v>
      </c>
      <c r="C28" s="374"/>
      <c r="D28" s="374"/>
      <c r="E28" s="374"/>
      <c r="F28" s="374"/>
      <c r="G28" s="374"/>
      <c r="H28" s="374"/>
      <c r="I28" s="374"/>
      <c r="J28" s="374"/>
      <c r="K28" s="374"/>
      <c r="L28" s="375"/>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7" customHeight="1" x14ac:dyDescent="0.25">
      <c r="A29" s="11"/>
      <c r="B29" s="374" t="s">
        <v>820</v>
      </c>
      <c r="C29" s="374"/>
      <c r="D29" s="374"/>
      <c r="E29" s="374"/>
      <c r="F29" s="374"/>
      <c r="G29" s="374"/>
      <c r="H29" s="374"/>
      <c r="I29" s="374"/>
      <c r="J29" s="374"/>
      <c r="K29" s="374"/>
      <c r="L29" s="375"/>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7" customHeight="1" x14ac:dyDescent="0.25">
      <c r="A30" s="11"/>
      <c r="B30" s="374" t="s">
        <v>821</v>
      </c>
      <c r="C30" s="374"/>
      <c r="D30" s="374"/>
      <c r="E30" s="374"/>
      <c r="F30" s="374"/>
      <c r="G30" s="374"/>
      <c r="H30" s="374"/>
      <c r="I30" s="374"/>
      <c r="J30" s="374"/>
      <c r="K30" s="374"/>
      <c r="L30" s="375"/>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7" customHeight="1" x14ac:dyDescent="0.25">
      <c r="A31" s="11"/>
      <c r="B31" s="374"/>
      <c r="C31" s="374"/>
      <c r="D31" s="374"/>
      <c r="E31" s="374"/>
      <c r="F31" s="374"/>
      <c r="G31" s="374"/>
      <c r="H31" s="374"/>
      <c r="I31" s="374"/>
      <c r="J31" s="374"/>
      <c r="K31" s="374"/>
      <c r="L31" s="375"/>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7" customHeight="1" x14ac:dyDescent="0.25">
      <c r="A32" s="11">
        <v>0.75</v>
      </c>
      <c r="B32" s="374" t="s">
        <v>1</v>
      </c>
      <c r="C32" s="374"/>
      <c r="D32" s="374"/>
      <c r="E32" s="374"/>
      <c r="F32" s="374"/>
      <c r="G32" s="374"/>
      <c r="H32" s="374"/>
      <c r="I32" s="374"/>
      <c r="J32" s="374"/>
      <c r="K32" s="374"/>
      <c r="L32" s="375"/>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7" customHeight="1" x14ac:dyDescent="0.25">
      <c r="A33" s="420"/>
      <c r="B33" s="374" t="s">
        <v>822</v>
      </c>
      <c r="C33" s="374"/>
      <c r="D33" s="374"/>
      <c r="E33" s="374"/>
      <c r="F33" s="374"/>
      <c r="G33" s="374"/>
      <c r="H33" s="374"/>
      <c r="I33" s="374"/>
      <c r="J33" s="374"/>
      <c r="K33" s="374"/>
      <c r="L33" s="375"/>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7" customHeight="1" x14ac:dyDescent="0.25">
      <c r="A34" s="420"/>
      <c r="B34" s="374"/>
      <c r="C34" s="374"/>
      <c r="D34" s="374"/>
      <c r="E34" s="374"/>
      <c r="F34" s="374"/>
      <c r="G34" s="374"/>
      <c r="H34" s="374"/>
      <c r="I34" s="374"/>
      <c r="J34" s="374"/>
      <c r="K34" s="374"/>
      <c r="L34" s="375"/>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7" customHeight="1" x14ac:dyDescent="0.25">
      <c r="A35" s="11">
        <v>0.5</v>
      </c>
      <c r="B35" s="374" t="s">
        <v>2</v>
      </c>
      <c r="C35" s="374"/>
      <c r="D35" s="374"/>
      <c r="E35" s="374"/>
      <c r="F35" s="374"/>
      <c r="G35" s="374"/>
      <c r="H35" s="374"/>
      <c r="I35" s="374"/>
      <c r="J35" s="374"/>
      <c r="K35" s="374"/>
      <c r="L35" s="375"/>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7" customHeight="1" x14ac:dyDescent="0.25">
      <c r="A36" s="420"/>
      <c r="B36" s="374" t="s">
        <v>823</v>
      </c>
      <c r="C36" s="374"/>
      <c r="D36" s="374"/>
      <c r="E36" s="374"/>
      <c r="F36" s="374"/>
      <c r="G36" s="374"/>
      <c r="H36" s="374"/>
      <c r="I36" s="374"/>
      <c r="J36" s="374"/>
      <c r="K36" s="374"/>
      <c r="L36" s="375"/>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7" customHeight="1" x14ac:dyDescent="0.25">
      <c r="A37" s="420"/>
      <c r="B37" s="374"/>
      <c r="C37" s="374" t="s">
        <v>824</v>
      </c>
      <c r="D37" s="374"/>
      <c r="E37" s="374"/>
      <c r="F37" s="374"/>
      <c r="G37" s="374"/>
      <c r="H37" s="374"/>
      <c r="I37" s="374"/>
      <c r="J37" s="374"/>
      <c r="K37" s="374"/>
      <c r="L37" s="375"/>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7" customHeight="1" x14ac:dyDescent="0.25">
      <c r="A38" s="420"/>
      <c r="B38" s="374"/>
      <c r="C38" s="374" t="s">
        <v>825</v>
      </c>
      <c r="D38" s="374"/>
      <c r="E38" s="374"/>
      <c r="F38" s="374"/>
      <c r="G38" s="374"/>
      <c r="H38" s="374"/>
      <c r="I38" s="374"/>
      <c r="J38" s="374"/>
      <c r="K38" s="374"/>
      <c r="L38" s="375"/>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7" customHeight="1" thickBot="1" x14ac:dyDescent="0.3">
      <c r="A39" s="421"/>
      <c r="B39" s="423"/>
      <c r="C39" s="423"/>
      <c r="D39" s="423"/>
      <c r="E39" s="423"/>
      <c r="F39" s="423"/>
      <c r="G39" s="423"/>
      <c r="H39" s="423"/>
      <c r="I39" s="423"/>
      <c r="J39" s="423"/>
      <c r="K39" s="423"/>
      <c r="L39" s="424"/>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7"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7" customHeight="1" x14ac:dyDescent="0.25">
      <c r="A41" s="20" t="s">
        <v>0</v>
      </c>
      <c r="B41" s="20" t="s">
        <v>826</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7" customHeight="1" x14ac:dyDescent="0.25">
      <c r="A42" s="20"/>
      <c r="B42" s="20" t="s">
        <v>240</v>
      </c>
      <c r="C42" s="20">
        <v>12</v>
      </c>
      <c r="D42" s="20">
        <v>24</v>
      </c>
      <c r="E42" s="20">
        <v>36</v>
      </c>
      <c r="F42" s="20">
        <v>48</v>
      </c>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7" customHeight="1" x14ac:dyDescent="0.25">
      <c r="A43" s="20"/>
      <c r="B43" s="20">
        <v>2014</v>
      </c>
      <c r="C43" s="20">
        <f>C9*(1-0.2)</f>
        <v>160</v>
      </c>
      <c r="D43" s="20">
        <f t="shared" ref="D43:F43" si="0">D9*(1-0.2)</f>
        <v>320</v>
      </c>
      <c r="E43" s="20">
        <f t="shared" si="0"/>
        <v>480</v>
      </c>
      <c r="F43" s="20">
        <f t="shared" si="0"/>
        <v>576</v>
      </c>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7" customHeight="1" x14ac:dyDescent="0.25">
      <c r="A44" s="20"/>
      <c r="B44" s="20">
        <v>2015</v>
      </c>
      <c r="C44" s="20">
        <f t="shared" ref="C44:E46" si="1">C10*(1-0.2)</f>
        <v>192</v>
      </c>
      <c r="D44" s="20">
        <f t="shared" si="1"/>
        <v>384</v>
      </c>
      <c r="E44" s="20">
        <f t="shared" si="1"/>
        <v>576</v>
      </c>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7" customHeight="1" x14ac:dyDescent="0.25">
      <c r="A45" s="20"/>
      <c r="B45" s="20">
        <v>2016</v>
      </c>
      <c r="C45" s="20">
        <f t="shared" si="1"/>
        <v>240</v>
      </c>
      <c r="D45" s="20">
        <f t="shared" si="1"/>
        <v>480</v>
      </c>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7" customHeight="1" x14ac:dyDescent="0.25">
      <c r="A46" s="20"/>
      <c r="B46" s="20">
        <v>2017</v>
      </c>
      <c r="C46" s="20">
        <f t="shared" si="1"/>
        <v>280</v>
      </c>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7"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7" customHeight="1" x14ac:dyDescent="0.25">
      <c r="A48" s="20"/>
      <c r="B48" s="20" t="s">
        <v>827</v>
      </c>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7" customHeight="1" x14ac:dyDescent="0.25">
      <c r="A49" s="20"/>
      <c r="B49" s="20" t="s">
        <v>240</v>
      </c>
      <c r="C49" s="303" t="s">
        <v>149</v>
      </c>
      <c r="D49" s="20" t="s">
        <v>150</v>
      </c>
      <c r="E49" s="20" t="s">
        <v>151</v>
      </c>
      <c r="F49" s="20" t="s">
        <v>704</v>
      </c>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7" customHeight="1" x14ac:dyDescent="0.25">
      <c r="A50" s="20"/>
      <c r="B50" s="20">
        <v>2014</v>
      </c>
      <c r="C50" s="315">
        <f>D43/C43</f>
        <v>2</v>
      </c>
      <c r="D50" s="315">
        <f t="shared" ref="D50:E50" si="2">E43/D43</f>
        <v>1.5</v>
      </c>
      <c r="E50" s="315">
        <f t="shared" si="2"/>
        <v>1.2</v>
      </c>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7" customHeight="1" x14ac:dyDescent="0.25">
      <c r="A51" s="20"/>
      <c r="B51" s="20">
        <v>2015</v>
      </c>
      <c r="C51" s="315">
        <f t="shared" ref="C51:D52" si="3">D44/C44</f>
        <v>2</v>
      </c>
      <c r="D51" s="315">
        <f t="shared" si="3"/>
        <v>1.5</v>
      </c>
      <c r="E51" s="315"/>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7" customHeight="1" x14ac:dyDescent="0.25">
      <c r="A52" s="20"/>
      <c r="B52" s="20">
        <v>2016</v>
      </c>
      <c r="C52" s="315">
        <f t="shared" si="3"/>
        <v>2</v>
      </c>
      <c r="D52" s="315"/>
      <c r="E52" s="315"/>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7" customHeight="1" x14ac:dyDescent="0.25">
      <c r="A53" s="20"/>
      <c r="B53" s="20" t="s">
        <v>703</v>
      </c>
      <c r="C53" s="315">
        <f>AVERAGE(C50:C52)</f>
        <v>2</v>
      </c>
      <c r="D53" s="315">
        <f t="shared" ref="D53:E53" si="4">AVERAGE(D50:D52)</f>
        <v>1.5</v>
      </c>
      <c r="E53" s="315">
        <f t="shared" si="4"/>
        <v>1.2</v>
      </c>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7" customHeight="1" x14ac:dyDescent="0.25">
      <c r="A54" s="20"/>
      <c r="B54" s="20" t="s">
        <v>702</v>
      </c>
      <c r="C54" s="315">
        <f>C53</f>
        <v>2</v>
      </c>
      <c r="D54" s="315">
        <f t="shared" ref="D54:E54" si="5">D53</f>
        <v>1.5</v>
      </c>
      <c r="E54" s="315">
        <f t="shared" si="5"/>
        <v>1.2</v>
      </c>
      <c r="F54" s="20">
        <v>1.1000000000000001</v>
      </c>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7"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7" customHeight="1" x14ac:dyDescent="0.25">
      <c r="A56" s="20"/>
      <c r="B56" s="20" t="s">
        <v>240</v>
      </c>
      <c r="C56" s="20" t="s">
        <v>828</v>
      </c>
      <c r="D56" s="20" t="s">
        <v>829</v>
      </c>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7" customHeight="1" x14ac:dyDescent="0.25">
      <c r="A57" s="20"/>
      <c r="B57" s="20">
        <v>2014</v>
      </c>
      <c r="C57" s="20">
        <f>F43*F54</f>
        <v>633.6</v>
      </c>
      <c r="D57" s="647">
        <f>MIN(C57,C20)</f>
        <v>633.6</v>
      </c>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7" customHeight="1" x14ac:dyDescent="0.25">
      <c r="A58" s="20"/>
      <c r="B58" s="20">
        <v>2015</v>
      </c>
      <c r="C58" s="20">
        <f>E44*E54*F54</f>
        <v>760.31999999999994</v>
      </c>
      <c r="D58" s="647">
        <f t="shared" ref="D58:D59" si="6">MIN(C58,C21)</f>
        <v>750</v>
      </c>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7" customHeight="1" x14ac:dyDescent="0.25">
      <c r="A59" s="20"/>
      <c r="B59" s="20">
        <v>2016</v>
      </c>
      <c r="C59" s="20">
        <f>D45*D54*E54*F54</f>
        <v>950.40000000000009</v>
      </c>
      <c r="D59" s="647">
        <f t="shared" si="6"/>
        <v>900</v>
      </c>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7" customHeight="1" x14ac:dyDescent="0.25">
      <c r="A60" s="20"/>
      <c r="B60" s="20">
        <v>2017</v>
      </c>
      <c r="C60" s="20">
        <f>C46*C54*D54*E54*F54</f>
        <v>1108.8000000000002</v>
      </c>
      <c r="D60" s="647">
        <f>MIN(C60,C23)</f>
        <v>1000</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7" customHeight="1" x14ac:dyDescent="0.25">
      <c r="A61" s="20"/>
      <c r="B61" s="20" t="s">
        <v>237</v>
      </c>
      <c r="C61" s="20"/>
      <c r="D61" s="647">
        <f>SUM(D57:D60)</f>
        <v>3283.6</v>
      </c>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7"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7" customHeight="1" x14ac:dyDescent="0.25">
      <c r="A63" s="20" t="s">
        <v>1</v>
      </c>
      <c r="B63" s="20" t="s">
        <v>830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7" customHeight="1" x14ac:dyDescent="0.25">
      <c r="A64" s="20"/>
      <c r="B64" s="313" t="s">
        <v>831</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7" customHeight="1" x14ac:dyDescent="0.25">
      <c r="A65" s="20"/>
      <c r="B65" s="20" t="s">
        <v>240</v>
      </c>
      <c r="C65" s="20" t="s">
        <v>149</v>
      </c>
      <c r="D65" s="20" t="s">
        <v>150</v>
      </c>
      <c r="E65" s="20" t="s">
        <v>151</v>
      </c>
      <c r="F65" s="20" t="s">
        <v>704</v>
      </c>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7" customHeight="1" x14ac:dyDescent="0.25">
      <c r="A66" s="20"/>
      <c r="B66" s="20">
        <v>2014</v>
      </c>
      <c r="C66" s="20">
        <f>D9/C9</f>
        <v>2</v>
      </c>
      <c r="D66" s="20">
        <f t="shared" ref="D66:E66" si="7">E9/D9</f>
        <v>1.5</v>
      </c>
      <c r="E66" s="20">
        <f t="shared" si="7"/>
        <v>1.2</v>
      </c>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7" customHeight="1" x14ac:dyDescent="0.25">
      <c r="A67" s="20"/>
      <c r="B67" s="20">
        <v>2015</v>
      </c>
      <c r="C67" s="20">
        <f t="shared" ref="C67:D68" si="8">D10/C10</f>
        <v>2</v>
      </c>
      <c r="D67" s="20">
        <f t="shared" si="8"/>
        <v>1.5</v>
      </c>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7" customHeight="1" x14ac:dyDescent="0.25">
      <c r="A68" s="20"/>
      <c r="B68" s="20">
        <v>2016</v>
      </c>
      <c r="C68" s="20">
        <f t="shared" si="8"/>
        <v>2</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7" customHeight="1" x14ac:dyDescent="0.25">
      <c r="A69" s="20"/>
      <c r="B69" s="20" t="s">
        <v>703</v>
      </c>
      <c r="C69" s="20">
        <v>2</v>
      </c>
      <c r="D69" s="20">
        <v>1.5</v>
      </c>
      <c r="E69" s="20">
        <v>1.2</v>
      </c>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7" customHeight="1" x14ac:dyDescent="0.25">
      <c r="A70" s="20"/>
      <c r="B70" s="20" t="s">
        <v>702</v>
      </c>
      <c r="C70" s="20">
        <v>2</v>
      </c>
      <c r="D70" s="20">
        <v>1.5</v>
      </c>
      <c r="E70" s="20">
        <v>1.2</v>
      </c>
      <c r="F70" s="20">
        <v>1.1000000000000001</v>
      </c>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7"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7" customHeight="1" x14ac:dyDescent="0.25">
      <c r="A72" s="20"/>
      <c r="B72" s="20" t="s">
        <v>832</v>
      </c>
      <c r="C72" s="20"/>
      <c r="D72" s="20"/>
      <c r="E72" s="437">
        <f>C12*C70*D70*E70*F70</f>
        <v>1386</v>
      </c>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7" customHeight="1" x14ac:dyDescent="0.25">
      <c r="A73" s="20"/>
      <c r="B73" s="20" t="s">
        <v>833</v>
      </c>
      <c r="C73" s="20"/>
      <c r="D73" s="20"/>
      <c r="E73" s="437">
        <f>E72-C12</f>
        <v>1036</v>
      </c>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7" customHeight="1" x14ac:dyDescent="0.25">
      <c r="A74" s="20"/>
      <c r="B74" s="20" t="s">
        <v>834</v>
      </c>
      <c r="C74" s="20"/>
      <c r="D74" s="20"/>
      <c r="E74" s="437">
        <f>E73*0.2</f>
        <v>207.20000000000002</v>
      </c>
      <c r="F74" s="648"/>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7" customHeight="1" x14ac:dyDescent="0.25">
      <c r="A75" s="20"/>
      <c r="B75" s="20" t="s">
        <v>835</v>
      </c>
      <c r="C75" s="20"/>
      <c r="D75" s="20"/>
      <c r="E75" s="437">
        <f>C60-D60</f>
        <v>108.80000000000018</v>
      </c>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7" customHeight="1" x14ac:dyDescent="0.25">
      <c r="A76" s="20"/>
      <c r="B76" s="20" t="s">
        <v>836</v>
      </c>
      <c r="C76" s="20"/>
      <c r="D76" s="20"/>
      <c r="E76" s="649">
        <f>E74+E75</f>
        <v>316.00000000000023</v>
      </c>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7"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7" customHeight="1" x14ac:dyDescent="0.25">
      <c r="A78" s="20" t="s">
        <v>2</v>
      </c>
      <c r="B78" s="20" t="s">
        <v>837</v>
      </c>
      <c r="C78" s="20" t="s">
        <v>838</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7" customHeight="1" x14ac:dyDescent="0.25">
      <c r="A79" s="20"/>
      <c r="B79" s="20"/>
      <c r="C79" s="20" t="s">
        <v>839</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7" customHeight="1" x14ac:dyDescent="0.25">
      <c r="A80" s="20"/>
      <c r="B80" s="20"/>
      <c r="C80" s="20" t="s">
        <v>840</v>
      </c>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7" customHeight="1" x14ac:dyDescent="0.25">
      <c r="A81" s="20"/>
      <c r="B81" s="20"/>
      <c r="C81" s="20" t="s">
        <v>841</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7" customHeight="1" x14ac:dyDescent="0.25">
      <c r="A82" s="20"/>
      <c r="B82" s="20" t="s">
        <v>842</v>
      </c>
      <c r="C82" s="20" t="s">
        <v>843</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7" customHeight="1" x14ac:dyDescent="0.25">
      <c r="A83" s="20"/>
      <c r="B83" s="20"/>
      <c r="C83" s="20" t="s">
        <v>844</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7" customHeight="1" x14ac:dyDescent="0.25">
      <c r="A84" s="20"/>
      <c r="B84" s="20"/>
      <c r="C84" s="20" t="s">
        <v>845</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7"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7"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7"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7"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7"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7"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7"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7"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7"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7"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7"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7"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7"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7"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7"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7"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7"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7"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7"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7"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7"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7"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7"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7"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7"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7"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7"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7"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7"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7"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7"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7"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7"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7"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7"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7"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7"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7"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7"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7"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7"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7"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7"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7"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7"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7"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7"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7"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7"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7"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7"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7"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7"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7"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7"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7"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7"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7"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7"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7"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7"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7"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7"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7"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7"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7"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7"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7"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7"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7"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7"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7"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7"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7"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7"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7"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7"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7"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7"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7"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7"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7"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7"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7"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7"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7"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7"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7"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7"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7"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7"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7"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7"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7"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7"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7"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7"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7"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7"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7"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7"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7"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7"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7"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7"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7"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7"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7"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7" ht="14.7"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7" ht="14.7"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7" ht="14.7"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7" ht="14.7"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7" ht="14.7"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7" ht="14.7"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7" ht="14.7"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7" ht="14.7"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7" ht="14.7" hidden="1" customHeight="1" x14ac:dyDescent="0.25"/>
    <row r="202" spans="1:57" ht="14.7" hidden="1" customHeight="1" x14ac:dyDescent="0.25"/>
    <row r="203" spans="1:57" ht="0" hidden="1" customHeight="1" x14ac:dyDescent="0.25"/>
    <row r="204" spans="1:57" s="27" customFormat="1" ht="0" hidden="1"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row>
    <row r="205" spans="1:57" s="27" customFormat="1" ht="0" hidden="1"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row>
    <row r="206" spans="1:57" s="27" customFormat="1" ht="0" hidden="1"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row>
    <row r="207" spans="1:57" s="27" customFormat="1" ht="0" hidden="1"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row>
    <row r="208" spans="1:57" hidden="1" x14ac:dyDescent="0.25"/>
    <row r="209" hidden="1" x14ac:dyDescent="0.25"/>
    <row r="210" hidden="1" x14ac:dyDescent="0.25"/>
    <row r="211" hidden="1" x14ac:dyDescent="0.25"/>
    <row r="212" hidden="1" x14ac:dyDescent="0.25"/>
    <row r="213" x14ac:dyDescent="0.25"/>
    <row r="214" x14ac:dyDescent="0.25"/>
    <row r="215" x14ac:dyDescent="0.25"/>
    <row r="216" x14ac:dyDescent="0.25"/>
    <row r="217" x14ac:dyDescent="0.25"/>
  </sheetData>
  <conditionalFormatting sqref="B1">
    <cfRule type="cellIs" dxfId="47" priority="1" operator="equal">
      <formula>"Review Later"</formula>
    </cfRule>
    <cfRule type="cellIs" dxfId="46" priority="2" operator="equal">
      <formula>"Finished"</formula>
    </cfRule>
    <cfRule type="cellIs" dxfId="45" priority="3" operator="equal">
      <formula>"Incomplete"</formula>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H217"/>
  <sheetViews>
    <sheetView zoomScaleNormal="100" workbookViewId="0"/>
  </sheetViews>
  <sheetFormatPr defaultColWidth="0" defaultRowHeight="13.8" zeroHeight="1" x14ac:dyDescent="0.25"/>
  <cols>
    <col min="1" max="1" width="12" style="21" customWidth="1"/>
    <col min="2" max="2" width="14.109375" style="21" customWidth="1"/>
    <col min="3" max="6" width="14" style="21" customWidth="1"/>
    <col min="7" max="10" width="11" style="21" customWidth="1"/>
    <col min="11" max="11" width="19.33203125" style="21" customWidth="1"/>
    <col min="12" max="52" width="11" style="21" customWidth="1"/>
    <col min="53" max="60" width="0" style="21" hidden="1" customWidth="1"/>
    <col min="61" max="16384" width="11" style="21" hidden="1"/>
  </cols>
  <sheetData>
    <row r="1" spans="1:52" ht="14.7" customHeight="1" thickBot="1" x14ac:dyDescent="0.3">
      <c r="A1" s="3">
        <v>22</v>
      </c>
      <c r="B1" s="4"/>
      <c r="C1" s="246"/>
      <c r="D1" s="246"/>
      <c r="E1" s="246"/>
      <c r="F1" s="246"/>
      <c r="G1" s="246"/>
      <c r="H1" s="246"/>
      <c r="I1" s="246"/>
      <c r="J1" s="246"/>
      <c r="K1" s="246"/>
      <c r="L1" s="247"/>
      <c r="M1" s="20"/>
      <c r="N1" s="20"/>
      <c r="O1" s="20"/>
      <c r="P1" s="20"/>
      <c r="Q1" s="20"/>
      <c r="R1" s="20"/>
      <c r="S1" s="20"/>
      <c r="T1" s="20"/>
      <c r="U1" s="20"/>
      <c r="V1" s="20"/>
      <c r="W1" s="20"/>
    </row>
    <row r="2" spans="1:52" ht="14.7" customHeight="1" x14ac:dyDescent="0.25">
      <c r="A2" s="8" t="s">
        <v>4</v>
      </c>
      <c r="B2" s="374"/>
      <c r="C2" s="374"/>
      <c r="D2" s="374"/>
      <c r="E2" s="374"/>
      <c r="F2" s="374"/>
      <c r="G2" s="374"/>
      <c r="H2" s="374"/>
      <c r="I2" s="374"/>
      <c r="J2" s="374"/>
      <c r="K2" s="374"/>
      <c r="L2" s="375"/>
      <c r="M2" s="20"/>
      <c r="N2" s="20"/>
      <c r="O2" s="20"/>
      <c r="P2" s="20"/>
      <c r="Q2" s="20"/>
      <c r="R2" s="20"/>
      <c r="S2" s="20"/>
      <c r="T2" s="20"/>
      <c r="U2" s="20"/>
      <c r="V2" s="20"/>
      <c r="W2" s="20"/>
    </row>
    <row r="3" spans="1:52" ht="14.7" customHeight="1" x14ac:dyDescent="0.25">
      <c r="A3" s="11">
        <v>2.5</v>
      </c>
      <c r="B3" s="9"/>
      <c r="C3" s="374"/>
      <c r="D3" s="374"/>
      <c r="E3" s="374"/>
      <c r="F3" s="374"/>
      <c r="G3" s="374"/>
      <c r="H3" s="374"/>
      <c r="I3" s="374"/>
      <c r="J3" s="374"/>
      <c r="K3" s="374"/>
      <c r="L3" s="375"/>
      <c r="M3" s="20"/>
      <c r="N3" s="20"/>
      <c r="O3" s="20"/>
      <c r="P3" s="20"/>
      <c r="Q3" s="20"/>
      <c r="R3" s="20"/>
      <c r="S3" s="20"/>
      <c r="T3" s="20"/>
      <c r="U3" s="20"/>
      <c r="V3" s="20"/>
      <c r="W3" s="20"/>
    </row>
    <row r="4" spans="1:52" ht="14.7" customHeight="1" x14ac:dyDescent="0.25">
      <c r="A4" s="11"/>
      <c r="B4" s="564" t="s">
        <v>193</v>
      </c>
      <c r="C4" s="374"/>
      <c r="D4" s="374"/>
      <c r="E4" s="374"/>
      <c r="F4" s="374"/>
      <c r="G4" s="374"/>
      <c r="H4" s="374"/>
      <c r="I4" s="374"/>
      <c r="J4" s="374"/>
      <c r="K4" s="374"/>
      <c r="L4" s="375"/>
      <c r="M4" s="20"/>
      <c r="N4" s="20"/>
      <c r="O4" s="20"/>
      <c r="P4" s="20"/>
      <c r="Q4" s="20"/>
      <c r="R4" s="20"/>
      <c r="S4" s="20"/>
      <c r="T4" s="20"/>
      <c r="U4" s="20"/>
      <c r="V4" s="20"/>
      <c r="W4" s="20"/>
    </row>
    <row r="5" spans="1:52" ht="14.7" customHeight="1" thickBot="1" x14ac:dyDescent="0.3">
      <c r="A5" s="11"/>
      <c r="B5" s="564"/>
      <c r="C5" s="374"/>
      <c r="D5" s="374"/>
      <c r="E5" s="374"/>
      <c r="F5" s="374"/>
      <c r="G5" s="374"/>
      <c r="H5" s="374"/>
      <c r="I5" s="374"/>
      <c r="J5" s="374"/>
      <c r="K5" s="374"/>
      <c r="L5" s="375"/>
      <c r="M5" s="20"/>
      <c r="N5" s="20"/>
      <c r="O5" s="20"/>
      <c r="P5" s="20"/>
      <c r="Q5" s="20"/>
      <c r="R5" s="20"/>
      <c r="S5" s="20"/>
      <c r="T5" s="20"/>
      <c r="U5" s="20"/>
      <c r="V5" s="20"/>
      <c r="W5" s="20"/>
    </row>
    <row r="6" spans="1:52" ht="14.7" customHeight="1" x14ac:dyDescent="0.25">
      <c r="A6" s="11"/>
      <c r="B6" s="325"/>
      <c r="C6" s="627" t="s">
        <v>811</v>
      </c>
      <c r="D6" s="627"/>
      <c r="E6" s="627"/>
      <c r="F6" s="628"/>
      <c r="G6" s="629"/>
      <c r="H6" s="374"/>
      <c r="I6" s="374"/>
      <c r="J6" s="374"/>
      <c r="K6" s="374"/>
      <c r="L6" s="375"/>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7" customHeight="1" x14ac:dyDescent="0.25">
      <c r="A7" s="11"/>
      <c r="B7" s="330" t="s">
        <v>117</v>
      </c>
      <c r="C7" s="630" t="s">
        <v>812</v>
      </c>
      <c r="D7" s="630"/>
      <c r="E7" s="630"/>
      <c r="F7" s="631"/>
      <c r="G7" s="629"/>
      <c r="H7" s="374"/>
      <c r="I7" s="374"/>
      <c r="J7" s="374"/>
      <c r="K7" s="374"/>
      <c r="L7" s="375"/>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7" customHeight="1" thickBot="1" x14ac:dyDescent="0.3">
      <c r="A8" s="11"/>
      <c r="B8" s="388" t="s">
        <v>94</v>
      </c>
      <c r="C8" s="632">
        <v>12</v>
      </c>
      <c r="D8" s="632">
        <v>24</v>
      </c>
      <c r="E8" s="632">
        <v>36</v>
      </c>
      <c r="F8" s="391">
        <v>48</v>
      </c>
      <c r="G8" s="374"/>
      <c r="H8" s="374"/>
      <c r="I8" s="374"/>
      <c r="J8" s="374"/>
      <c r="K8" s="374"/>
      <c r="L8" s="375"/>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7" customHeight="1" x14ac:dyDescent="0.25">
      <c r="A9" s="11"/>
      <c r="B9" s="38">
        <v>2014</v>
      </c>
      <c r="C9" s="386">
        <v>200</v>
      </c>
      <c r="D9" s="403">
        <v>400</v>
      </c>
      <c r="E9" s="403">
        <v>600</v>
      </c>
      <c r="F9" s="385">
        <v>720</v>
      </c>
      <c r="G9" s="374"/>
      <c r="H9" s="374"/>
      <c r="I9" s="374"/>
      <c r="J9" s="374"/>
      <c r="K9" s="374"/>
      <c r="L9" s="375"/>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7" customHeight="1" x14ac:dyDescent="0.25">
      <c r="A10" s="11"/>
      <c r="B10" s="38">
        <v>2015</v>
      </c>
      <c r="C10" s="386">
        <v>240</v>
      </c>
      <c r="D10" s="403">
        <v>480</v>
      </c>
      <c r="E10" s="403">
        <v>720</v>
      </c>
      <c r="F10" s="385"/>
      <c r="G10" s="374"/>
      <c r="H10" s="374"/>
      <c r="I10" s="374"/>
      <c r="J10" s="374"/>
      <c r="K10" s="374"/>
      <c r="L10" s="375"/>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7" customHeight="1" x14ac:dyDescent="0.25">
      <c r="A11" s="11"/>
      <c r="B11" s="38">
        <v>2016</v>
      </c>
      <c r="C11" s="386">
        <v>300</v>
      </c>
      <c r="D11" s="403">
        <v>600</v>
      </c>
      <c r="E11" s="403"/>
      <c r="F11" s="385"/>
      <c r="G11" s="374"/>
      <c r="H11" s="374"/>
      <c r="I11" s="374"/>
      <c r="J11" s="374"/>
      <c r="K11" s="374"/>
      <c r="L11" s="375"/>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7" customHeight="1" thickBot="1" x14ac:dyDescent="0.3">
      <c r="A12" s="11"/>
      <c r="B12" s="43">
        <v>2017</v>
      </c>
      <c r="C12" s="390">
        <v>350</v>
      </c>
      <c r="D12" s="407"/>
      <c r="E12" s="407"/>
      <c r="F12" s="389"/>
      <c r="G12" s="374"/>
      <c r="H12" s="374"/>
      <c r="I12" s="374"/>
      <c r="J12" s="374"/>
      <c r="K12" s="374"/>
      <c r="L12" s="375"/>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7" customHeight="1" thickBot="1" x14ac:dyDescent="0.3">
      <c r="A13" s="11"/>
      <c r="B13" s="629"/>
      <c r="C13" s="629"/>
      <c r="D13" s="629"/>
      <c r="E13" s="629"/>
      <c r="F13" s="629"/>
      <c r="G13" s="374"/>
      <c r="H13" s="374"/>
      <c r="I13" s="374"/>
      <c r="J13" s="374"/>
      <c r="K13" s="374"/>
      <c r="L13" s="375"/>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7" customHeight="1" x14ac:dyDescent="0.25">
      <c r="A14" s="11"/>
      <c r="B14" s="633">
        <v>1.1000000000000001</v>
      </c>
      <c r="C14" s="634" t="s">
        <v>813</v>
      </c>
      <c r="D14" s="635"/>
      <c r="E14" s="635"/>
      <c r="F14" s="635"/>
      <c r="G14" s="635"/>
      <c r="H14" s="636"/>
      <c r="I14" s="636"/>
      <c r="J14" s="499"/>
      <c r="K14" s="374"/>
      <c r="L14" s="375"/>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7" customHeight="1" thickBot="1" x14ac:dyDescent="0.3">
      <c r="A15" s="11"/>
      <c r="B15" s="637">
        <v>0.2</v>
      </c>
      <c r="C15" s="423" t="s">
        <v>814</v>
      </c>
      <c r="D15" s="638"/>
      <c r="E15" s="638"/>
      <c r="F15" s="638"/>
      <c r="G15" s="638"/>
      <c r="H15" s="423"/>
      <c r="I15" s="423"/>
      <c r="J15" s="424"/>
      <c r="K15" s="374"/>
      <c r="L15" s="375"/>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7" customHeight="1" thickBot="1" x14ac:dyDescent="0.3">
      <c r="A16" s="11"/>
      <c r="B16" s="395"/>
      <c r="C16" s="374"/>
      <c r="D16" s="629"/>
      <c r="E16" s="629"/>
      <c r="F16" s="629"/>
      <c r="G16" s="629"/>
      <c r="H16" s="374"/>
      <c r="I16" s="374"/>
      <c r="J16" s="374"/>
      <c r="K16" s="374"/>
      <c r="L16" s="375"/>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7" customHeight="1" x14ac:dyDescent="0.25">
      <c r="A17" s="11"/>
      <c r="B17" s="639"/>
      <c r="C17" s="640" t="s">
        <v>815</v>
      </c>
      <c r="D17" s="629"/>
      <c r="E17" s="629"/>
      <c r="F17" s="629"/>
      <c r="G17" s="374"/>
      <c r="H17" s="374"/>
      <c r="I17" s="374"/>
      <c r="J17" s="374"/>
      <c r="K17" s="374"/>
      <c r="L17" s="375"/>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7" customHeight="1" x14ac:dyDescent="0.25">
      <c r="A18" s="11"/>
      <c r="B18" s="384" t="s">
        <v>117</v>
      </c>
      <c r="C18" s="641" t="s">
        <v>816</v>
      </c>
      <c r="D18" s="629"/>
      <c r="E18" s="629"/>
      <c r="F18" s="629"/>
      <c r="G18" s="374"/>
      <c r="H18" s="374"/>
      <c r="I18" s="374"/>
      <c r="J18" s="374"/>
      <c r="K18" s="374"/>
      <c r="L18" s="37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7" customHeight="1" thickBot="1" x14ac:dyDescent="0.3">
      <c r="A19" s="11"/>
      <c r="B19" s="388" t="s">
        <v>94</v>
      </c>
      <c r="C19" s="642" t="s">
        <v>817</v>
      </c>
      <c r="D19" s="629"/>
      <c r="E19" s="629"/>
      <c r="F19" s="629"/>
      <c r="G19" s="374"/>
      <c r="H19" s="374"/>
      <c r="I19" s="374"/>
      <c r="J19" s="374"/>
      <c r="K19" s="374"/>
      <c r="L19" s="37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7" customHeight="1" x14ac:dyDescent="0.25">
      <c r="A20" s="11"/>
      <c r="B20" s="36">
        <v>2014</v>
      </c>
      <c r="C20" s="643">
        <v>700</v>
      </c>
      <c r="D20" s="629"/>
      <c r="E20" s="629"/>
      <c r="F20" s="629"/>
      <c r="G20" s="374"/>
      <c r="H20" s="374"/>
      <c r="I20" s="374"/>
      <c r="J20" s="374"/>
      <c r="K20" s="374"/>
      <c r="L20" s="375"/>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7" customHeight="1" x14ac:dyDescent="0.25">
      <c r="A21" s="11"/>
      <c r="B21" s="38">
        <v>2015</v>
      </c>
      <c r="C21" s="644">
        <v>750</v>
      </c>
      <c r="D21" s="629"/>
      <c r="E21" s="629"/>
      <c r="F21" s="629"/>
      <c r="G21" s="374"/>
      <c r="H21" s="374"/>
      <c r="I21" s="374"/>
      <c r="J21" s="374"/>
      <c r="K21" s="374"/>
      <c r="L21" s="375"/>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7" customHeight="1" x14ac:dyDescent="0.25">
      <c r="A22" s="11"/>
      <c r="B22" s="38">
        <v>2016</v>
      </c>
      <c r="C22" s="644">
        <v>900</v>
      </c>
      <c r="D22" s="629"/>
      <c r="E22" s="629"/>
      <c r="F22" s="629"/>
      <c r="G22" s="374"/>
      <c r="H22" s="374"/>
      <c r="I22" s="374"/>
      <c r="J22" s="374"/>
      <c r="K22" s="374"/>
      <c r="L22" s="375"/>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7" customHeight="1" thickBot="1" x14ac:dyDescent="0.3">
      <c r="A23" s="11"/>
      <c r="B23" s="43">
        <v>2017</v>
      </c>
      <c r="C23" s="645">
        <v>1000</v>
      </c>
      <c r="D23" s="629"/>
      <c r="E23" s="629"/>
      <c r="F23" s="629"/>
      <c r="G23" s="374"/>
      <c r="H23" s="374"/>
      <c r="I23" s="374"/>
      <c r="J23" s="374"/>
      <c r="K23" s="374"/>
      <c r="L23" s="375"/>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7" customHeight="1" x14ac:dyDescent="0.25">
      <c r="A24" s="11"/>
      <c r="B24" s="564"/>
      <c r="C24" s="393"/>
      <c r="D24" s="403"/>
      <c r="E24" s="646"/>
      <c r="F24" s="646"/>
      <c r="G24" s="629"/>
      <c r="H24" s="374"/>
      <c r="I24" s="374"/>
      <c r="J24" s="374"/>
      <c r="K24" s="374"/>
      <c r="L24" s="375"/>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7" customHeight="1" x14ac:dyDescent="0.25">
      <c r="A25" s="11"/>
      <c r="B25" s="374" t="s">
        <v>818</v>
      </c>
      <c r="C25" s="629"/>
      <c r="D25" s="629"/>
      <c r="E25" s="629"/>
      <c r="F25" s="629"/>
      <c r="G25" s="629"/>
      <c r="H25" s="374"/>
      <c r="I25" s="374"/>
      <c r="J25" s="374"/>
      <c r="K25" s="374"/>
      <c r="L25" s="375"/>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7" customHeight="1" x14ac:dyDescent="0.25">
      <c r="A26" s="11"/>
      <c r="B26" s="374" t="s">
        <v>819</v>
      </c>
      <c r="C26" s="374"/>
      <c r="D26" s="374"/>
      <c r="E26" s="374"/>
      <c r="F26" s="374"/>
      <c r="G26" s="374"/>
      <c r="H26" s="374"/>
      <c r="I26" s="374"/>
      <c r="J26" s="374"/>
      <c r="K26" s="374"/>
      <c r="L26" s="375"/>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7" customHeight="1" x14ac:dyDescent="0.25">
      <c r="A27" s="11"/>
      <c r="B27" s="374"/>
      <c r="C27" s="374"/>
      <c r="D27" s="374"/>
      <c r="E27" s="374"/>
      <c r="F27" s="374"/>
      <c r="G27" s="374"/>
      <c r="H27" s="374"/>
      <c r="I27" s="374"/>
      <c r="J27" s="374"/>
      <c r="K27" s="374"/>
      <c r="L27" s="375"/>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7" customHeight="1" x14ac:dyDescent="0.25">
      <c r="A28" s="11">
        <v>1.25</v>
      </c>
      <c r="B28" s="374" t="s">
        <v>10</v>
      </c>
      <c r="C28" s="374"/>
      <c r="D28" s="374"/>
      <c r="E28" s="374"/>
      <c r="F28" s="374"/>
      <c r="G28" s="374"/>
      <c r="H28" s="374"/>
      <c r="I28" s="374"/>
      <c r="J28" s="374"/>
      <c r="K28" s="374"/>
      <c r="L28" s="375"/>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7" customHeight="1" x14ac:dyDescent="0.25">
      <c r="A29" s="11"/>
      <c r="B29" s="374" t="s">
        <v>820</v>
      </c>
      <c r="C29" s="374"/>
      <c r="D29" s="374"/>
      <c r="E29" s="374"/>
      <c r="F29" s="374"/>
      <c r="G29" s="374"/>
      <c r="H29" s="374"/>
      <c r="I29" s="374"/>
      <c r="J29" s="374"/>
      <c r="K29" s="374"/>
      <c r="L29" s="375"/>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7" customHeight="1" x14ac:dyDescent="0.25">
      <c r="A30" s="11"/>
      <c r="B30" s="374" t="s">
        <v>821</v>
      </c>
      <c r="C30" s="374"/>
      <c r="D30" s="374"/>
      <c r="E30" s="374"/>
      <c r="F30" s="374"/>
      <c r="G30" s="374"/>
      <c r="H30" s="374"/>
      <c r="I30" s="374"/>
      <c r="J30" s="374"/>
      <c r="K30" s="374"/>
      <c r="L30" s="375"/>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7" customHeight="1" x14ac:dyDescent="0.25">
      <c r="A31" s="11"/>
      <c r="B31" s="374"/>
      <c r="C31" s="374"/>
      <c r="D31" s="374"/>
      <c r="E31" s="374"/>
      <c r="F31" s="374"/>
      <c r="G31" s="374"/>
      <c r="H31" s="374"/>
      <c r="I31" s="374"/>
      <c r="J31" s="374"/>
      <c r="K31" s="374"/>
      <c r="L31" s="375"/>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7" customHeight="1" x14ac:dyDescent="0.25">
      <c r="A32" s="11">
        <v>0.75</v>
      </c>
      <c r="B32" s="374" t="s">
        <v>1</v>
      </c>
      <c r="C32" s="374"/>
      <c r="D32" s="374"/>
      <c r="E32" s="374"/>
      <c r="F32" s="374"/>
      <c r="G32" s="374"/>
      <c r="H32" s="374"/>
      <c r="I32" s="374"/>
      <c r="J32" s="374"/>
      <c r="K32" s="374"/>
      <c r="L32" s="375"/>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7" customHeight="1" x14ac:dyDescent="0.25">
      <c r="A33" s="420"/>
      <c r="B33" s="374" t="s">
        <v>822</v>
      </c>
      <c r="C33" s="374"/>
      <c r="D33" s="374"/>
      <c r="E33" s="374"/>
      <c r="F33" s="374"/>
      <c r="G33" s="374"/>
      <c r="H33" s="374"/>
      <c r="I33" s="374"/>
      <c r="J33" s="374"/>
      <c r="K33" s="374"/>
      <c r="L33" s="375"/>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7" customHeight="1" x14ac:dyDescent="0.25">
      <c r="A34" s="420"/>
      <c r="B34" s="374"/>
      <c r="C34" s="374"/>
      <c r="D34" s="374"/>
      <c r="E34" s="374"/>
      <c r="F34" s="374"/>
      <c r="G34" s="374"/>
      <c r="H34" s="374"/>
      <c r="I34" s="374"/>
      <c r="J34" s="374"/>
      <c r="K34" s="374"/>
      <c r="L34" s="375"/>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7" customHeight="1" x14ac:dyDescent="0.25">
      <c r="A35" s="11">
        <v>0.5</v>
      </c>
      <c r="B35" s="374" t="s">
        <v>2</v>
      </c>
      <c r="C35" s="374"/>
      <c r="D35" s="374"/>
      <c r="E35" s="374"/>
      <c r="F35" s="374"/>
      <c r="G35" s="374"/>
      <c r="H35" s="374"/>
      <c r="I35" s="374"/>
      <c r="J35" s="374"/>
      <c r="K35" s="374"/>
      <c r="L35" s="375"/>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7" customHeight="1" x14ac:dyDescent="0.25">
      <c r="A36" s="420"/>
      <c r="B36" s="374" t="s">
        <v>823</v>
      </c>
      <c r="C36" s="374"/>
      <c r="D36" s="374"/>
      <c r="E36" s="374"/>
      <c r="F36" s="374"/>
      <c r="G36" s="374"/>
      <c r="H36" s="374"/>
      <c r="I36" s="374"/>
      <c r="J36" s="374"/>
      <c r="K36" s="374"/>
      <c r="L36" s="375"/>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7" customHeight="1" x14ac:dyDescent="0.25">
      <c r="A37" s="420"/>
      <c r="B37" s="374"/>
      <c r="C37" s="374" t="s">
        <v>824</v>
      </c>
      <c r="D37" s="374"/>
      <c r="E37" s="374"/>
      <c r="F37" s="374"/>
      <c r="G37" s="374"/>
      <c r="H37" s="374"/>
      <c r="I37" s="374"/>
      <c r="J37" s="374"/>
      <c r="K37" s="374"/>
      <c r="L37" s="375"/>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7" customHeight="1" x14ac:dyDescent="0.25">
      <c r="A38" s="420"/>
      <c r="B38" s="374"/>
      <c r="C38" s="374" t="s">
        <v>825</v>
      </c>
      <c r="D38" s="374"/>
      <c r="E38" s="374"/>
      <c r="F38" s="374"/>
      <c r="G38" s="374"/>
      <c r="H38" s="374"/>
      <c r="I38" s="374"/>
      <c r="J38" s="374"/>
      <c r="K38" s="374"/>
      <c r="L38" s="375"/>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7" customHeight="1" thickBot="1" x14ac:dyDescent="0.3">
      <c r="A39" s="421"/>
      <c r="B39" s="423"/>
      <c r="C39" s="423"/>
      <c r="D39" s="423"/>
      <c r="E39" s="423"/>
      <c r="F39" s="423"/>
      <c r="G39" s="423"/>
      <c r="H39" s="423"/>
      <c r="I39" s="423"/>
      <c r="J39" s="423"/>
      <c r="K39" s="423"/>
      <c r="L39" s="424"/>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7" customHeigh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7" customHeight="1" x14ac:dyDescent="0.25">
      <c r="A41" s="20"/>
      <c r="B41" s="20" t="s">
        <v>0</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7" customHeigh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7" customHeight="1" x14ac:dyDescent="0.25">
      <c r="A43" s="20"/>
      <c r="B43" s="20" t="s">
        <v>240</v>
      </c>
      <c r="C43" s="303" t="s">
        <v>149</v>
      </c>
      <c r="D43" s="303" t="s">
        <v>150</v>
      </c>
      <c r="E43" s="303" t="s">
        <v>846</v>
      </c>
      <c r="F43" s="303" t="s">
        <v>704</v>
      </c>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7" customHeight="1" x14ac:dyDescent="0.25">
      <c r="A44" s="20"/>
      <c r="B44" s="20">
        <v>2014</v>
      </c>
      <c r="C44" s="20">
        <f>D9/C9</f>
        <v>2</v>
      </c>
      <c r="D44" s="20">
        <f>E9/D9</f>
        <v>1.5</v>
      </c>
      <c r="E44" s="20">
        <f>F9/E9</f>
        <v>1.2</v>
      </c>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7" customHeight="1" x14ac:dyDescent="0.25">
      <c r="A45" s="20"/>
      <c r="B45" s="20">
        <v>2015</v>
      </c>
      <c r="C45" s="20">
        <f>D10/C10</f>
        <v>2</v>
      </c>
      <c r="D45" s="20">
        <f>E10/D10</f>
        <v>1.5</v>
      </c>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7" customHeight="1" x14ac:dyDescent="0.25">
      <c r="A46" s="20"/>
      <c r="B46" s="20">
        <v>2016</v>
      </c>
      <c r="C46" s="20">
        <f>D11/C11</f>
        <v>2</v>
      </c>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7" customHeight="1" x14ac:dyDescent="0.25">
      <c r="A47" s="20"/>
      <c r="B47" s="20" t="s">
        <v>702</v>
      </c>
      <c r="C47" s="20">
        <f>AVERAGE(C44:C46)</f>
        <v>2</v>
      </c>
      <c r="D47" s="20">
        <f>AVERAGE(D44:D45)</f>
        <v>1.5</v>
      </c>
      <c r="E47" s="20">
        <f>AVERAGE(E44:E44)</f>
        <v>1.2</v>
      </c>
      <c r="F47" s="299">
        <f>B14</f>
        <v>1.1000000000000001</v>
      </c>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7" customHeight="1" x14ac:dyDescent="0.25">
      <c r="A48" s="20"/>
      <c r="B48" s="20" t="s">
        <v>155</v>
      </c>
      <c r="C48" s="20">
        <f>PRODUCT(C47:F47)</f>
        <v>3.96</v>
      </c>
      <c r="D48" s="20">
        <f>PRODUCT(D47:F47)</f>
        <v>1.98</v>
      </c>
      <c r="E48" s="20">
        <f>PRODUCT(E47:F47)</f>
        <v>1.32</v>
      </c>
      <c r="F48" s="20">
        <f>PRODUCT(F47)</f>
        <v>1.1000000000000001</v>
      </c>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7" customHeigh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7" customHeight="1" x14ac:dyDescent="0.25">
      <c r="A50" s="20"/>
      <c r="B50" s="20" t="s">
        <v>240</v>
      </c>
      <c r="C50" s="20" t="s">
        <v>694</v>
      </c>
      <c r="D50" s="20" t="s">
        <v>155</v>
      </c>
      <c r="E50" s="20" t="s">
        <v>847</v>
      </c>
      <c r="F50" s="20" t="s">
        <v>848</v>
      </c>
      <c r="G50" s="20" t="s">
        <v>849</v>
      </c>
      <c r="H50" s="20"/>
      <c r="I50" s="20"/>
      <c r="J50" s="650" t="s">
        <v>240</v>
      </c>
      <c r="K50" s="650" t="s">
        <v>850</v>
      </c>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7" customHeight="1" x14ac:dyDescent="0.25">
      <c r="A51" s="20"/>
      <c r="B51" s="20">
        <v>2014</v>
      </c>
      <c r="C51" s="302">
        <f>F9</f>
        <v>720</v>
      </c>
      <c r="D51" s="20">
        <f>F48</f>
        <v>1.1000000000000001</v>
      </c>
      <c r="E51" s="20">
        <f>D51*C51</f>
        <v>792.00000000000011</v>
      </c>
      <c r="F51" s="20">
        <f>E51*(1-B15)</f>
        <v>633.60000000000014</v>
      </c>
      <c r="G51" s="302">
        <f>MIN(F51,C20)</f>
        <v>633.60000000000014</v>
      </c>
      <c r="H51" s="20"/>
      <c r="I51" s="20"/>
      <c r="J51" s="650">
        <v>2014</v>
      </c>
      <c r="K51" s="650">
        <f>G51*1000</f>
        <v>633600.00000000012</v>
      </c>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7" customHeight="1" x14ac:dyDescent="0.25">
      <c r="A52" s="20"/>
      <c r="B52" s="20">
        <v>2015</v>
      </c>
      <c r="C52" s="302">
        <f>E10</f>
        <v>720</v>
      </c>
      <c r="D52" s="20">
        <f>E48</f>
        <v>1.32</v>
      </c>
      <c r="E52" s="20">
        <f>D52*C52</f>
        <v>950.40000000000009</v>
      </c>
      <c r="F52" s="20">
        <f>E52*(1-B15)</f>
        <v>760.32000000000016</v>
      </c>
      <c r="G52" s="302">
        <f>MIN(F52,C21)</f>
        <v>750</v>
      </c>
      <c r="H52" s="20"/>
      <c r="I52" s="20"/>
      <c r="J52" s="650">
        <v>2015</v>
      </c>
      <c r="K52" s="650">
        <f>G52*1000</f>
        <v>750000</v>
      </c>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7" customHeight="1" x14ac:dyDescent="0.25">
      <c r="A53" s="20"/>
      <c r="B53" s="20">
        <v>2016</v>
      </c>
      <c r="C53" s="302">
        <f>D11</f>
        <v>600</v>
      </c>
      <c r="D53" s="20">
        <f>D48</f>
        <v>1.98</v>
      </c>
      <c r="E53" s="20">
        <f>D53*C53</f>
        <v>1188</v>
      </c>
      <c r="F53" s="20">
        <f>E53*(1-B15)</f>
        <v>950.40000000000009</v>
      </c>
      <c r="G53" s="302">
        <f>MIN(F53,C22)</f>
        <v>900</v>
      </c>
      <c r="H53" s="20"/>
      <c r="I53" s="20"/>
      <c r="J53" s="650">
        <v>2016</v>
      </c>
      <c r="K53" s="650">
        <f>G53*1000</f>
        <v>900000</v>
      </c>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7" customHeight="1" thickBot="1" x14ac:dyDescent="0.3">
      <c r="A54" s="20"/>
      <c r="B54" s="20">
        <v>2017</v>
      </c>
      <c r="C54" s="302">
        <f>C12</f>
        <v>350</v>
      </c>
      <c r="D54" s="20">
        <f>C48</f>
        <v>3.96</v>
      </c>
      <c r="E54" s="20">
        <f>D54*C54</f>
        <v>1386</v>
      </c>
      <c r="F54" s="20">
        <f>E54*(1-B15)</f>
        <v>1108.8</v>
      </c>
      <c r="G54" s="302">
        <f>MIN(F54,C23)</f>
        <v>1000</v>
      </c>
      <c r="H54" s="20"/>
      <c r="I54" s="20"/>
      <c r="J54" s="650">
        <v>2017</v>
      </c>
      <c r="K54" s="650">
        <f>G54*1000</f>
        <v>1000000</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7" customHeight="1" thickBot="1" x14ac:dyDescent="0.3">
      <c r="A55" s="20"/>
      <c r="B55" s="20"/>
      <c r="C55" s="20"/>
      <c r="D55" s="20"/>
      <c r="E55" s="20"/>
      <c r="F55" s="20"/>
      <c r="G55" s="302">
        <f>SUM(G51:G54)</f>
        <v>3283.6000000000004</v>
      </c>
      <c r="H55" s="20"/>
      <c r="I55" s="20"/>
      <c r="J55" s="651" t="s">
        <v>323</v>
      </c>
      <c r="K55" s="652">
        <f>SUM(K51:K54)</f>
        <v>3283600</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7"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7" customHeight="1" x14ac:dyDescent="0.25">
      <c r="A57" s="20"/>
      <c r="B57" s="20" t="s">
        <v>1</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7" customHeight="1" x14ac:dyDescent="0.25">
      <c r="A58" s="20"/>
      <c r="B58" s="20" t="s">
        <v>240</v>
      </c>
      <c r="C58" s="20" t="s">
        <v>694</v>
      </c>
      <c r="D58" s="20" t="s">
        <v>847</v>
      </c>
      <c r="E58" s="20" t="s">
        <v>851</v>
      </c>
      <c r="F58" s="20" t="s">
        <v>852</v>
      </c>
      <c r="G58" s="20" t="s">
        <v>853</v>
      </c>
      <c r="H58" s="20" t="s">
        <v>854</v>
      </c>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7" customHeight="1" x14ac:dyDescent="0.25">
      <c r="A59" s="20"/>
      <c r="B59" s="20">
        <v>2017</v>
      </c>
      <c r="C59" s="302">
        <f>C12</f>
        <v>350</v>
      </c>
      <c r="D59" s="20">
        <f>E54</f>
        <v>1386</v>
      </c>
      <c r="E59" s="302">
        <f>G54</f>
        <v>1000</v>
      </c>
      <c r="F59" s="302">
        <f>D59-E59</f>
        <v>386</v>
      </c>
      <c r="G59" s="20">
        <f>C59*B15</f>
        <v>70</v>
      </c>
      <c r="H59" s="302">
        <f>F59-G59</f>
        <v>316</v>
      </c>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7"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7" customHeight="1" x14ac:dyDescent="0.25">
      <c r="A61" s="20"/>
      <c r="B61" s="20" t="s">
        <v>240</v>
      </c>
      <c r="C61" s="20" t="s">
        <v>854</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7" customHeight="1" x14ac:dyDescent="0.25">
      <c r="A62" s="20"/>
      <c r="B62" s="20">
        <v>2017</v>
      </c>
      <c r="C62" s="398">
        <f>H59*1000</f>
        <v>316000</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7"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7" customHeight="1" x14ac:dyDescent="0.25">
      <c r="A64" s="20"/>
      <c r="B64" s="20" t="s">
        <v>2</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7" customHeight="1" x14ac:dyDescent="0.25">
      <c r="A65" s="20"/>
      <c r="B65" s="20"/>
      <c r="C65" s="20" t="s">
        <v>855</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7"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7" customHeight="1" x14ac:dyDescent="0.25">
      <c r="A67" s="20"/>
      <c r="B67" s="20"/>
      <c r="C67" s="20" t="s">
        <v>856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7"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7"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7"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7"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7"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7"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7"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7"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7"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7"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7"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7"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7"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7"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7"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7"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7"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7"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7"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7"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7"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7"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7"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7"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7"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7"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7"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7"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7"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7"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7"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7"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7"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7"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7"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7"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7"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7"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7"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7"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7"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7"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7"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7"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7"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7"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7"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7"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7"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7"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7"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7"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7"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7"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7"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7"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7"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7"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7"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7"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7"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7"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7"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7"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7"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7"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7"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7"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7"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7"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7"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7"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7"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7"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7"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7"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7"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7"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7"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7"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7"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7"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7"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7"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7"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7"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7"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7"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7"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7"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7"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7"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7"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7"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7"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7"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7"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7"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7"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7"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7"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7"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7"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7"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7"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7"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7"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7"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7"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7"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7"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7"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7"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7"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7"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7"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7"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7"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7"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7"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7"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7"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7"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7"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7"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7" ht="14.7"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7" ht="14.7"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7" ht="14.7"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7" ht="14.7" hidden="1" customHeight="1" x14ac:dyDescent="0.2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7" ht="14.7" hidden="1" customHeight="1" x14ac:dyDescent="0.2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7" ht="14.7" hidden="1" customHeight="1" x14ac:dyDescent="0.2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7" ht="14.7" hidden="1" customHeight="1" x14ac:dyDescent="0.2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7" ht="14.7" hidden="1" customHeight="1" x14ac:dyDescent="0.25">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7" ht="14.7" hidden="1" customHeight="1" x14ac:dyDescent="0.25"/>
    <row r="202" spans="1:57" ht="14.7" hidden="1" customHeight="1" x14ac:dyDescent="0.25"/>
    <row r="203" spans="1:57" ht="0" hidden="1" customHeight="1" x14ac:dyDescent="0.25"/>
    <row r="204" spans="1:57" s="27" customFormat="1" ht="0" hidden="1"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row>
    <row r="205" spans="1:57" s="27" customFormat="1" ht="0" hidden="1"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row>
    <row r="206" spans="1:57" s="27" customFormat="1" ht="0" hidden="1"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row>
    <row r="207" spans="1:57" s="27" customFormat="1" ht="0" hidden="1"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row>
    <row r="208" spans="1:57" hidden="1" x14ac:dyDescent="0.25"/>
    <row r="209" hidden="1" x14ac:dyDescent="0.25"/>
    <row r="210" hidden="1" x14ac:dyDescent="0.25"/>
    <row r="211" hidden="1" x14ac:dyDescent="0.25"/>
    <row r="212" hidden="1" x14ac:dyDescent="0.25"/>
    <row r="213" x14ac:dyDescent="0.25"/>
    <row r="214" x14ac:dyDescent="0.25"/>
    <row r="215" x14ac:dyDescent="0.25"/>
    <row r="216" x14ac:dyDescent="0.25"/>
    <row r="217" x14ac:dyDescent="0.25"/>
  </sheetData>
  <conditionalFormatting sqref="B1">
    <cfRule type="cellIs" dxfId="44" priority="1" operator="equal">
      <formula>"Review Later"</formula>
    </cfRule>
    <cfRule type="cellIs" dxfId="43" priority="2" operator="equal">
      <formula>"Finished"</formula>
    </cfRule>
    <cfRule type="cellIs" dxfId="42" priority="3" operator="equal">
      <formula>"Incomplete"</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C205"/>
  <sheetViews>
    <sheetView zoomScaleNormal="100" workbookViewId="0"/>
  </sheetViews>
  <sheetFormatPr defaultColWidth="0" defaultRowHeight="0" customHeight="1" zeroHeight="1" x14ac:dyDescent="0.25"/>
  <cols>
    <col min="1" max="1" width="13.33203125" style="657" customWidth="1"/>
    <col min="2" max="2" width="16.5546875" style="656" customWidth="1"/>
    <col min="3" max="11" width="13.33203125" style="656" customWidth="1"/>
    <col min="12" max="14" width="10.44140625" style="656" customWidth="1"/>
    <col min="15" max="15" width="13" style="656" customWidth="1"/>
    <col min="16" max="16" width="12.6640625" style="656" customWidth="1"/>
    <col min="17" max="17" width="12" style="656" customWidth="1"/>
    <col min="18" max="18" width="12.44140625" style="656" customWidth="1"/>
    <col min="19" max="52" width="10.44140625" style="656" customWidth="1"/>
    <col min="53" max="55" width="0" style="656" hidden="1" customWidth="1"/>
    <col min="56" max="16384" width="10.44140625" style="656" hidden="1"/>
  </cols>
  <sheetData>
    <row r="1" spans="1:52" ht="14.4" customHeight="1" thickBot="1" x14ac:dyDescent="0.3">
      <c r="A1" s="3">
        <v>23</v>
      </c>
      <c r="B1" s="4"/>
      <c r="C1" s="658"/>
      <c r="D1" s="658"/>
      <c r="E1" s="658"/>
      <c r="F1" s="658"/>
      <c r="G1" s="658"/>
      <c r="H1" s="658"/>
      <c r="I1" s="658"/>
      <c r="J1" s="658"/>
      <c r="K1" s="658"/>
      <c r="L1" s="659"/>
      <c r="M1" s="660"/>
      <c r="N1" s="660"/>
      <c r="O1" s="660"/>
      <c r="P1" s="660"/>
      <c r="Q1" s="660"/>
      <c r="R1" s="660"/>
      <c r="S1" s="660"/>
      <c r="T1" s="660"/>
      <c r="U1" s="660"/>
      <c r="V1" s="660"/>
      <c r="W1" s="660"/>
    </row>
    <row r="2" spans="1:52" ht="14.4" customHeight="1" x14ac:dyDescent="0.25">
      <c r="A2" s="661" t="s">
        <v>4</v>
      </c>
      <c r="B2" s="662"/>
      <c r="C2" s="662"/>
      <c r="D2" s="662"/>
      <c r="E2" s="662"/>
      <c r="F2" s="662"/>
      <c r="G2" s="662"/>
      <c r="H2" s="662"/>
      <c r="I2" s="662"/>
      <c r="J2" s="662"/>
      <c r="K2" s="662"/>
      <c r="L2" s="663"/>
      <c r="M2" s="660"/>
      <c r="N2" s="660"/>
      <c r="O2" s="660"/>
      <c r="P2" s="660"/>
      <c r="Q2" s="660"/>
      <c r="R2" s="660"/>
      <c r="S2" s="660"/>
      <c r="T2" s="660"/>
      <c r="U2" s="660"/>
      <c r="V2" s="660"/>
      <c r="W2" s="660"/>
    </row>
    <row r="3" spans="1:52" ht="14.4" customHeight="1" x14ac:dyDescent="0.25">
      <c r="A3" s="664">
        <v>2.75</v>
      </c>
      <c r="B3" s="665"/>
      <c r="C3" s="662"/>
      <c r="D3" s="662"/>
      <c r="E3" s="662"/>
      <c r="F3" s="662"/>
      <c r="G3" s="662"/>
      <c r="H3" s="662"/>
      <c r="I3" s="662"/>
      <c r="J3" s="662"/>
      <c r="K3" s="662"/>
      <c r="L3" s="663"/>
      <c r="M3" s="660"/>
      <c r="N3" s="660"/>
      <c r="O3" s="660"/>
      <c r="P3" s="660"/>
      <c r="Q3" s="660"/>
      <c r="R3" s="660"/>
      <c r="S3" s="660"/>
      <c r="T3" s="660"/>
      <c r="U3" s="660"/>
      <c r="V3" s="660"/>
      <c r="W3" s="660"/>
    </row>
    <row r="4" spans="1:52" ht="14.4" customHeight="1" x14ac:dyDescent="0.25">
      <c r="A4" s="666"/>
      <c r="B4" s="662" t="s">
        <v>193</v>
      </c>
      <c r="C4" s="662"/>
      <c r="D4" s="662"/>
      <c r="E4" s="662"/>
      <c r="F4" s="662"/>
      <c r="G4" s="662"/>
      <c r="H4" s="662"/>
      <c r="I4" s="662"/>
      <c r="J4" s="662"/>
      <c r="K4" s="662"/>
      <c r="L4" s="663"/>
      <c r="M4" s="660"/>
      <c r="N4" s="660" t="s">
        <v>280</v>
      </c>
      <c r="O4" s="660"/>
      <c r="P4" s="660"/>
      <c r="Q4" s="660"/>
      <c r="R4" s="660"/>
      <c r="S4" s="660"/>
      <c r="T4" s="660"/>
      <c r="U4" s="660"/>
      <c r="V4" s="660"/>
      <c r="W4" s="660"/>
    </row>
    <row r="5" spans="1:52" ht="14.4" customHeight="1" thickBot="1" x14ac:dyDescent="0.3">
      <c r="A5" s="666"/>
      <c r="B5" s="662"/>
      <c r="C5" s="662"/>
      <c r="D5" s="662"/>
      <c r="E5" s="662"/>
      <c r="F5" s="662"/>
      <c r="G5" s="662"/>
      <c r="H5" s="662"/>
      <c r="I5" s="662"/>
      <c r="J5" s="662"/>
      <c r="K5" s="662"/>
      <c r="L5" s="663"/>
      <c r="M5" s="660"/>
      <c r="N5" s="660"/>
      <c r="O5" s="660"/>
      <c r="P5" s="660"/>
      <c r="Q5" s="660"/>
      <c r="R5" s="660"/>
      <c r="S5" s="660"/>
      <c r="T5" s="660"/>
      <c r="U5" s="660"/>
      <c r="V5" s="660"/>
      <c r="W5" s="660"/>
    </row>
    <row r="6" spans="1:52" ht="14.4" customHeight="1" thickBot="1" x14ac:dyDescent="0.3">
      <c r="A6" s="666"/>
      <c r="B6" s="667" t="s">
        <v>857</v>
      </c>
      <c r="C6" s="668" t="s">
        <v>858</v>
      </c>
      <c r="D6" s="668" t="s">
        <v>858</v>
      </c>
      <c r="E6" s="669" t="s">
        <v>859</v>
      </c>
      <c r="F6" s="662"/>
      <c r="G6" s="662"/>
      <c r="H6" s="662"/>
      <c r="I6" s="662"/>
      <c r="J6" s="662"/>
      <c r="K6" s="662"/>
      <c r="L6" s="663"/>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4" customHeight="1" thickBot="1" x14ac:dyDescent="0.3">
      <c r="A7" s="666"/>
      <c r="B7" s="670" t="s">
        <v>94</v>
      </c>
      <c r="C7" s="671" t="s">
        <v>860</v>
      </c>
      <c r="D7" s="671" t="s">
        <v>861</v>
      </c>
      <c r="E7" s="672" t="s">
        <v>861</v>
      </c>
      <c r="F7" s="662"/>
      <c r="G7" s="662"/>
      <c r="H7" s="662"/>
      <c r="I7" s="662"/>
      <c r="J7" s="662"/>
      <c r="K7" s="662"/>
      <c r="L7" s="663"/>
      <c r="M7" s="660"/>
      <c r="N7" s="667" t="s">
        <v>857</v>
      </c>
      <c r="O7" s="668" t="s">
        <v>858</v>
      </c>
      <c r="P7" s="668" t="s">
        <v>858</v>
      </c>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4" customHeight="1" thickBot="1" x14ac:dyDescent="0.3">
      <c r="A8" s="666"/>
      <c r="B8" s="673">
        <v>2014</v>
      </c>
      <c r="C8" s="674">
        <v>25000</v>
      </c>
      <c r="D8" s="675">
        <v>62500</v>
      </c>
      <c r="E8" s="676">
        <v>250000</v>
      </c>
      <c r="F8" s="662"/>
      <c r="G8" s="662"/>
      <c r="H8" s="662"/>
      <c r="I8" s="662"/>
      <c r="J8" s="662"/>
      <c r="K8" s="662"/>
      <c r="L8" s="663"/>
      <c r="M8" s="660"/>
      <c r="N8" s="670" t="s">
        <v>94</v>
      </c>
      <c r="O8" s="671" t="s">
        <v>860</v>
      </c>
      <c r="P8" s="671" t="s">
        <v>861</v>
      </c>
      <c r="Q8" s="660" t="s">
        <v>862</v>
      </c>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4" customHeight="1" x14ac:dyDescent="0.25">
      <c r="A9" s="666"/>
      <c r="B9" s="677">
        <v>2015</v>
      </c>
      <c r="C9" s="678">
        <v>50000</v>
      </c>
      <c r="D9" s="679">
        <v>250000</v>
      </c>
      <c r="E9" s="680">
        <v>500000</v>
      </c>
      <c r="F9" s="662"/>
      <c r="G9" s="662"/>
      <c r="H9" s="662"/>
      <c r="I9" s="662"/>
      <c r="J9" s="662"/>
      <c r="K9" s="662"/>
      <c r="L9" s="663"/>
      <c r="M9" s="660"/>
      <c r="N9" s="673">
        <v>2014</v>
      </c>
      <c r="O9" s="674">
        <v>25000</v>
      </c>
      <c r="P9" s="675">
        <v>62500</v>
      </c>
      <c r="Q9" s="660">
        <f>O9/P9</f>
        <v>0.4</v>
      </c>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4" customHeight="1" x14ac:dyDescent="0.25">
      <c r="A10" s="666"/>
      <c r="B10" s="677">
        <v>2016</v>
      </c>
      <c r="C10" s="678">
        <v>75000</v>
      </c>
      <c r="D10" s="679">
        <v>500000</v>
      </c>
      <c r="E10" s="680">
        <v>750000</v>
      </c>
      <c r="F10" s="662"/>
      <c r="G10" s="662"/>
      <c r="H10" s="662"/>
      <c r="I10" s="662"/>
      <c r="J10" s="662"/>
      <c r="K10" s="662"/>
      <c r="L10" s="663"/>
      <c r="M10" s="660"/>
      <c r="N10" s="677">
        <v>2015</v>
      </c>
      <c r="O10" s="678">
        <v>50000</v>
      </c>
      <c r="P10" s="679">
        <v>250000</v>
      </c>
      <c r="Q10" s="660">
        <f t="shared" ref="Q10:Q12" si="0">O10/P10</f>
        <v>0.2</v>
      </c>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4" customHeight="1" thickBot="1" x14ac:dyDescent="0.3">
      <c r="A11" s="666"/>
      <c r="B11" s="681">
        <v>2017</v>
      </c>
      <c r="C11" s="682">
        <v>90000</v>
      </c>
      <c r="D11" s="683">
        <v>600000</v>
      </c>
      <c r="E11" s="684">
        <v>900000</v>
      </c>
      <c r="F11" s="662"/>
      <c r="G11" s="662"/>
      <c r="H11" s="662"/>
      <c r="I11" s="662"/>
      <c r="J11" s="662"/>
      <c r="K11" s="662"/>
      <c r="L11" s="663"/>
      <c r="M11" s="660"/>
      <c r="N11" s="677">
        <v>2016</v>
      </c>
      <c r="O11" s="678">
        <v>75000</v>
      </c>
      <c r="P11" s="679">
        <v>500000</v>
      </c>
      <c r="Q11" s="660">
        <f t="shared" si="0"/>
        <v>0.15</v>
      </c>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4" customHeight="1" thickBot="1" x14ac:dyDescent="0.3">
      <c r="A12" s="666"/>
      <c r="B12" s="662"/>
      <c r="C12" s="662"/>
      <c r="D12" s="662"/>
      <c r="E12" s="662"/>
      <c r="F12" s="662"/>
      <c r="G12" s="662"/>
      <c r="H12" s="662"/>
      <c r="I12" s="662"/>
      <c r="J12" s="662"/>
      <c r="K12" s="662"/>
      <c r="L12" s="663"/>
      <c r="M12" s="660"/>
      <c r="N12" s="681">
        <v>2017</v>
      </c>
      <c r="O12" s="682">
        <v>90000</v>
      </c>
      <c r="P12" s="683">
        <v>600000</v>
      </c>
      <c r="Q12" s="660">
        <f t="shared" si="0"/>
        <v>0.15</v>
      </c>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4" customHeight="1" thickBot="1" x14ac:dyDescent="0.3">
      <c r="A13" s="666"/>
      <c r="B13" s="685" t="s">
        <v>863</v>
      </c>
      <c r="C13" s="686"/>
      <c r="D13" s="686"/>
      <c r="E13" s="686"/>
      <c r="F13" s="686"/>
      <c r="G13" s="686"/>
      <c r="H13" s="686"/>
      <c r="I13" s="687"/>
      <c r="J13" s="662"/>
      <c r="K13" s="662"/>
      <c r="L13" s="663"/>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4" customHeight="1" x14ac:dyDescent="0.25">
      <c r="A14" s="666"/>
      <c r="B14" s="688">
        <v>150000</v>
      </c>
      <c r="C14" s="689" t="s">
        <v>864</v>
      </c>
      <c r="D14" s="658"/>
      <c r="E14" s="658"/>
      <c r="F14" s="658"/>
      <c r="G14" s="658"/>
      <c r="H14" s="658"/>
      <c r="I14" s="659"/>
      <c r="J14" s="662"/>
      <c r="K14" s="662"/>
      <c r="L14" s="663"/>
      <c r="M14" s="660"/>
      <c r="N14" s="660" t="s">
        <v>865</v>
      </c>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4" customHeight="1" x14ac:dyDescent="0.25">
      <c r="A15" s="666"/>
      <c r="B15" s="688">
        <v>100000</v>
      </c>
      <c r="C15" s="690" t="s">
        <v>866</v>
      </c>
      <c r="D15" s="662"/>
      <c r="E15" s="662"/>
      <c r="F15" s="662"/>
      <c r="G15" s="662"/>
      <c r="H15" s="662"/>
      <c r="I15" s="663"/>
      <c r="J15" s="662"/>
      <c r="K15" s="662"/>
      <c r="L15" s="663"/>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4" customHeight="1" thickBot="1" x14ac:dyDescent="0.3">
      <c r="A16" s="666"/>
      <c r="B16" s="691">
        <v>0.6</v>
      </c>
      <c r="C16" s="692" t="s">
        <v>867</v>
      </c>
      <c r="D16" s="693"/>
      <c r="E16" s="693"/>
      <c r="F16" s="693"/>
      <c r="G16" s="693"/>
      <c r="H16" s="693"/>
      <c r="I16" s="694"/>
      <c r="J16" s="662"/>
      <c r="K16" s="662"/>
      <c r="L16" s="663"/>
      <c r="M16" s="660"/>
      <c r="N16" s="660" t="s">
        <v>868</v>
      </c>
      <c r="O16" s="660">
        <f>Q12</f>
        <v>0.15</v>
      </c>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4" customHeight="1" x14ac:dyDescent="0.25">
      <c r="A17" s="666"/>
      <c r="B17" s="662"/>
      <c r="C17" s="662"/>
      <c r="D17" s="662"/>
      <c r="E17" s="662"/>
      <c r="F17" s="662"/>
      <c r="G17" s="662"/>
      <c r="H17" s="662"/>
      <c r="I17" s="662"/>
      <c r="J17" s="662"/>
      <c r="K17" s="662"/>
      <c r="L17" s="663"/>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4" customHeight="1" x14ac:dyDescent="0.25">
      <c r="A18" s="664">
        <v>1.25</v>
      </c>
      <c r="B18" s="662" t="s">
        <v>0</v>
      </c>
      <c r="C18" s="662"/>
      <c r="D18" s="662"/>
      <c r="E18" s="662"/>
      <c r="F18" s="662"/>
      <c r="G18" s="662"/>
      <c r="H18" s="662"/>
      <c r="I18" s="662"/>
      <c r="J18" s="662"/>
      <c r="K18" s="662"/>
      <c r="L18" s="663"/>
      <c r="M18" s="660"/>
      <c r="N18" s="660" t="s">
        <v>869</v>
      </c>
      <c r="O18" s="695">
        <f>B15*B16</f>
        <v>60000</v>
      </c>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4" customHeight="1" x14ac:dyDescent="0.25">
      <c r="A19" s="696"/>
      <c r="B19" s="662" t="s">
        <v>870</v>
      </c>
      <c r="C19" s="662"/>
      <c r="D19" s="662"/>
      <c r="E19" s="662"/>
      <c r="F19" s="662"/>
      <c r="G19" s="662"/>
      <c r="H19" s="662"/>
      <c r="I19" s="662"/>
      <c r="J19" s="662"/>
      <c r="K19" s="662"/>
      <c r="L19" s="663"/>
      <c r="M19" s="660"/>
      <c r="N19" s="660" t="s">
        <v>871</v>
      </c>
      <c r="O19" s="695">
        <f>B15-O18</f>
        <v>40000</v>
      </c>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4" customHeight="1" x14ac:dyDescent="0.25">
      <c r="A20" s="696"/>
      <c r="B20" s="662" t="s">
        <v>872</v>
      </c>
      <c r="C20" s="662"/>
      <c r="D20" s="662"/>
      <c r="E20" s="662"/>
      <c r="F20" s="662"/>
      <c r="G20" s="662"/>
      <c r="H20" s="662"/>
      <c r="I20" s="662"/>
      <c r="J20" s="662"/>
      <c r="K20" s="662"/>
      <c r="L20" s="663"/>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4" customHeight="1" x14ac:dyDescent="0.25">
      <c r="A21" s="696"/>
      <c r="B21" s="662"/>
      <c r="C21" s="662"/>
      <c r="D21" s="662"/>
      <c r="E21" s="662"/>
      <c r="F21" s="662"/>
      <c r="G21" s="662"/>
      <c r="H21" s="662"/>
      <c r="I21" s="662"/>
      <c r="J21" s="662"/>
      <c r="K21" s="662"/>
      <c r="L21" s="663"/>
      <c r="M21" s="660"/>
      <c r="N21" s="660" t="s">
        <v>873</v>
      </c>
      <c r="O21" s="697">
        <f>O16*(0.5*(B14+O18)+O19)</f>
        <v>21750</v>
      </c>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4" customHeight="1" x14ac:dyDescent="0.25">
      <c r="A22" s="664">
        <v>1</v>
      </c>
      <c r="B22" s="662" t="s">
        <v>1</v>
      </c>
      <c r="C22" s="662"/>
      <c r="D22" s="662"/>
      <c r="E22" s="662"/>
      <c r="F22" s="662"/>
      <c r="G22" s="662"/>
      <c r="H22" s="662"/>
      <c r="I22" s="662"/>
      <c r="J22" s="662"/>
      <c r="K22" s="662"/>
      <c r="L22" s="663"/>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4" customHeight="1" x14ac:dyDescent="0.25">
      <c r="A23" s="696"/>
      <c r="B23" s="662" t="s">
        <v>874</v>
      </c>
      <c r="C23" s="662"/>
      <c r="D23" s="662"/>
      <c r="E23" s="662"/>
      <c r="F23" s="662"/>
      <c r="G23" s="662"/>
      <c r="H23" s="662"/>
      <c r="I23" s="662"/>
      <c r="J23" s="662"/>
      <c r="K23" s="662"/>
      <c r="L23" s="663"/>
      <c r="M23" s="660"/>
      <c r="N23" s="660" t="s">
        <v>298</v>
      </c>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4" customHeight="1" thickBot="1" x14ac:dyDescent="0.3">
      <c r="A24" s="696"/>
      <c r="B24" s="662" t="s">
        <v>875</v>
      </c>
      <c r="C24" s="662"/>
      <c r="D24" s="662"/>
      <c r="E24" s="662"/>
      <c r="F24" s="662"/>
      <c r="G24" s="662"/>
      <c r="H24" s="662"/>
      <c r="I24" s="662"/>
      <c r="J24" s="662"/>
      <c r="K24" s="662"/>
      <c r="L24" s="663"/>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4" customHeight="1" x14ac:dyDescent="0.25">
      <c r="A25" s="696"/>
      <c r="B25" s="662"/>
      <c r="C25" s="662"/>
      <c r="D25" s="662"/>
      <c r="E25" s="662"/>
      <c r="F25" s="662"/>
      <c r="G25" s="662"/>
      <c r="H25" s="662"/>
      <c r="I25" s="662"/>
      <c r="J25" s="662"/>
      <c r="K25" s="662"/>
      <c r="L25" s="663"/>
      <c r="M25" s="660"/>
      <c r="N25" s="667" t="s">
        <v>857</v>
      </c>
      <c r="O25" s="668" t="s">
        <v>858</v>
      </c>
      <c r="P25" s="668" t="s">
        <v>858</v>
      </c>
      <c r="Q25" s="669" t="s">
        <v>859</v>
      </c>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4" customHeight="1" thickBot="1" x14ac:dyDescent="0.3">
      <c r="A26" s="664">
        <v>0.5</v>
      </c>
      <c r="B26" s="662" t="s">
        <v>2</v>
      </c>
      <c r="C26" s="662"/>
      <c r="D26" s="662"/>
      <c r="E26" s="662"/>
      <c r="F26" s="662"/>
      <c r="G26" s="662"/>
      <c r="H26" s="662"/>
      <c r="I26" s="662"/>
      <c r="J26" s="662"/>
      <c r="K26" s="662"/>
      <c r="L26" s="663"/>
      <c r="M26" s="660"/>
      <c r="N26" s="670" t="s">
        <v>94</v>
      </c>
      <c r="O26" s="671" t="s">
        <v>860</v>
      </c>
      <c r="P26" s="671" t="s">
        <v>861</v>
      </c>
      <c r="Q26" s="672" t="s">
        <v>861</v>
      </c>
      <c r="R26" s="660" t="s">
        <v>876</v>
      </c>
      <c r="S26" s="660" t="s">
        <v>877</v>
      </c>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4" customHeight="1" x14ac:dyDescent="0.25">
      <c r="A27" s="698"/>
      <c r="B27" s="662" t="s">
        <v>878</v>
      </c>
      <c r="C27" s="662"/>
      <c r="D27" s="662"/>
      <c r="E27" s="662"/>
      <c r="F27" s="662"/>
      <c r="G27" s="662"/>
      <c r="H27" s="662"/>
      <c r="I27" s="662"/>
      <c r="J27" s="662"/>
      <c r="K27" s="662"/>
      <c r="L27" s="663"/>
      <c r="M27" s="660"/>
      <c r="N27" s="673">
        <v>2014</v>
      </c>
      <c r="O27" s="674">
        <v>25000</v>
      </c>
      <c r="P27" s="675">
        <v>62500</v>
      </c>
      <c r="Q27" s="676">
        <v>250000</v>
      </c>
      <c r="R27" s="699">
        <f>AVERAGE(P27:Q27)</f>
        <v>156250</v>
      </c>
      <c r="S27" s="660">
        <f>O27/R27</f>
        <v>0.16</v>
      </c>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4" customHeight="1" thickBot="1" x14ac:dyDescent="0.3">
      <c r="A28" s="700"/>
      <c r="B28" s="693"/>
      <c r="C28" s="693"/>
      <c r="D28" s="693"/>
      <c r="E28" s="693"/>
      <c r="F28" s="693"/>
      <c r="G28" s="693"/>
      <c r="H28" s="693"/>
      <c r="I28" s="693"/>
      <c r="J28" s="693"/>
      <c r="K28" s="693"/>
      <c r="L28" s="694"/>
      <c r="M28" s="660"/>
      <c r="N28" s="677">
        <v>2015</v>
      </c>
      <c r="O28" s="678">
        <v>50000</v>
      </c>
      <c r="P28" s="679">
        <v>250000</v>
      </c>
      <c r="Q28" s="680">
        <v>500000</v>
      </c>
      <c r="R28" s="699">
        <f t="shared" ref="R28:R30" si="1">AVERAGE(P28:Q28)</f>
        <v>375000</v>
      </c>
      <c r="S28" s="701">
        <f t="shared" ref="S28:S30" si="2">O28/R28</f>
        <v>0.13333333333333333</v>
      </c>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4" customHeight="1" x14ac:dyDescent="0.25">
      <c r="A29" s="701"/>
      <c r="B29" s="660"/>
      <c r="C29" s="660"/>
      <c r="D29" s="660"/>
      <c r="E29" s="660"/>
      <c r="F29" s="660"/>
      <c r="G29" s="660"/>
      <c r="H29" s="660"/>
      <c r="I29" s="660"/>
      <c r="J29" s="660"/>
      <c r="K29" s="660"/>
      <c r="L29" s="660"/>
      <c r="M29" s="660"/>
      <c r="N29" s="677">
        <v>2016</v>
      </c>
      <c r="O29" s="678">
        <v>75000</v>
      </c>
      <c r="P29" s="679">
        <v>500000</v>
      </c>
      <c r="Q29" s="680">
        <v>750000</v>
      </c>
      <c r="R29" s="699">
        <f t="shared" si="1"/>
        <v>625000</v>
      </c>
      <c r="S29" s="701">
        <f t="shared" si="2"/>
        <v>0.12</v>
      </c>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4" customHeight="1" thickBot="1" x14ac:dyDescent="0.3">
      <c r="A30" s="701"/>
      <c r="B30" s="660"/>
      <c r="C30" s="660"/>
      <c r="D30" s="660"/>
      <c r="E30" s="660"/>
      <c r="F30" s="660"/>
      <c r="G30" s="660"/>
      <c r="H30" s="660"/>
      <c r="I30" s="660"/>
      <c r="J30" s="660"/>
      <c r="K30" s="660"/>
      <c r="L30" s="660"/>
      <c r="M30" s="660"/>
      <c r="N30" s="681">
        <v>2017</v>
      </c>
      <c r="O30" s="682">
        <v>90000</v>
      </c>
      <c r="P30" s="683">
        <v>600000</v>
      </c>
      <c r="Q30" s="684">
        <v>900000</v>
      </c>
      <c r="R30" s="699">
        <f t="shared" si="1"/>
        <v>750000</v>
      </c>
      <c r="S30" s="701">
        <f t="shared" si="2"/>
        <v>0.12</v>
      </c>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4" customHeight="1" x14ac:dyDescent="0.25">
      <c r="A31" s="70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4" customHeight="1" x14ac:dyDescent="0.25">
      <c r="A32" s="701"/>
      <c r="B32" s="660"/>
      <c r="C32" s="660"/>
      <c r="D32" s="660"/>
      <c r="E32" s="660"/>
      <c r="F32" s="660"/>
      <c r="G32" s="660"/>
      <c r="H32" s="660"/>
      <c r="I32" s="660"/>
      <c r="J32" s="660"/>
      <c r="K32" s="660"/>
      <c r="L32" s="660"/>
      <c r="M32" s="660"/>
      <c r="N32" s="660" t="s">
        <v>879</v>
      </c>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4" customHeight="1" x14ac:dyDescent="0.25">
      <c r="A33" s="701"/>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4" customHeight="1" x14ac:dyDescent="0.25">
      <c r="A34" s="701"/>
      <c r="B34" s="660"/>
      <c r="C34" s="660"/>
      <c r="D34" s="660"/>
      <c r="E34" s="660"/>
      <c r="F34" s="660"/>
      <c r="G34" s="660"/>
      <c r="H34" s="660"/>
      <c r="I34" s="660"/>
      <c r="J34" s="660"/>
      <c r="K34" s="660"/>
      <c r="L34" s="660"/>
      <c r="M34" s="660"/>
      <c r="N34" s="660" t="s">
        <v>880</v>
      </c>
      <c r="O34" s="701">
        <f>S30</f>
        <v>0.12</v>
      </c>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4" customHeight="1" x14ac:dyDescent="0.25">
      <c r="A35" s="701"/>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4" customHeight="1" x14ac:dyDescent="0.25">
      <c r="A36" s="701"/>
      <c r="B36" s="660"/>
      <c r="C36" s="660"/>
      <c r="D36" s="660"/>
      <c r="E36" s="660"/>
      <c r="F36" s="660"/>
      <c r="G36" s="660"/>
      <c r="H36" s="660"/>
      <c r="I36" s="660"/>
      <c r="J36" s="660"/>
      <c r="K36" s="660"/>
      <c r="L36" s="660"/>
      <c r="M36" s="660"/>
      <c r="N36" s="660" t="s">
        <v>881</v>
      </c>
      <c r="O36" s="697">
        <f>O34*(0.5*(B14+O18)+O19)</f>
        <v>17400</v>
      </c>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4" customHeight="1" x14ac:dyDescent="0.25">
      <c r="A37" s="701"/>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4" customHeight="1" x14ac:dyDescent="0.25">
      <c r="A38" s="701"/>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4" customHeight="1" x14ac:dyDescent="0.25">
      <c r="A39" s="701"/>
      <c r="B39" s="660"/>
      <c r="C39" s="660"/>
      <c r="D39" s="660"/>
      <c r="E39" s="660"/>
      <c r="F39" s="660"/>
      <c r="G39" s="660"/>
      <c r="H39" s="660"/>
      <c r="I39" s="660"/>
      <c r="J39" s="660"/>
      <c r="K39" s="660"/>
      <c r="L39" s="660"/>
      <c r="M39" s="660"/>
      <c r="N39" s="660" t="s">
        <v>585</v>
      </c>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4" customHeight="1" x14ac:dyDescent="0.25">
      <c r="A40" s="701"/>
      <c r="B40" s="660"/>
      <c r="C40" s="660"/>
      <c r="D40" s="660"/>
      <c r="E40" s="660"/>
      <c r="F40" s="660"/>
      <c r="G40" s="660"/>
      <c r="H40" s="660"/>
      <c r="I40" s="660"/>
      <c r="J40" s="660"/>
      <c r="K40" s="660"/>
      <c r="L40" s="660"/>
      <c r="M40" s="660"/>
      <c r="N40" s="660" t="s">
        <v>882</v>
      </c>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4" customHeight="1" x14ac:dyDescent="0.25">
      <c r="A41" s="701"/>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4" customHeight="1" x14ac:dyDescent="0.25">
      <c r="A42" s="701"/>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4" customHeight="1" x14ac:dyDescent="0.25">
      <c r="A43" s="701"/>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4" customHeight="1" x14ac:dyDescent="0.25">
      <c r="A44" s="701"/>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4" customHeight="1" x14ac:dyDescent="0.25">
      <c r="A45" s="70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4" customHeight="1" x14ac:dyDescent="0.25">
      <c r="A46" s="701"/>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4" customHeight="1" x14ac:dyDescent="0.25">
      <c r="A47" s="701"/>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4" customHeight="1" x14ac:dyDescent="0.25">
      <c r="A48" s="701"/>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4" customHeight="1" x14ac:dyDescent="0.25">
      <c r="A49" s="701"/>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4" customHeight="1" x14ac:dyDescent="0.25">
      <c r="A50" s="701"/>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4" customHeight="1" x14ac:dyDescent="0.25">
      <c r="A51" s="701"/>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4" customHeight="1" x14ac:dyDescent="0.25">
      <c r="A52" s="701"/>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4" customHeight="1" x14ac:dyDescent="0.25">
      <c r="A53" s="70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4" customHeight="1" x14ac:dyDescent="0.25">
      <c r="A54" s="701"/>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4" customHeight="1" x14ac:dyDescent="0.25">
      <c r="A55" s="701"/>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4" customHeight="1" x14ac:dyDescent="0.25">
      <c r="A56" s="701"/>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4" customHeight="1" x14ac:dyDescent="0.25">
      <c r="A57" s="701"/>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4" customHeight="1" x14ac:dyDescent="0.25">
      <c r="A58" s="701"/>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4" customHeight="1" x14ac:dyDescent="0.25">
      <c r="A59" s="701"/>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4" customHeight="1" x14ac:dyDescent="0.25">
      <c r="A60" s="701"/>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4" customHeight="1" x14ac:dyDescent="0.25">
      <c r="A61" s="701"/>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4" customHeight="1" x14ac:dyDescent="0.25">
      <c r="A62" s="701"/>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4" customHeight="1" x14ac:dyDescent="0.25">
      <c r="A63" s="701"/>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4" customHeight="1" x14ac:dyDescent="0.25">
      <c r="A64" s="701"/>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4" customHeight="1" x14ac:dyDescent="0.25">
      <c r="A65" s="701"/>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4" customHeight="1" x14ac:dyDescent="0.25">
      <c r="A66" s="701"/>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4" customHeight="1" x14ac:dyDescent="0.25">
      <c r="A67" s="701"/>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4" customHeight="1" x14ac:dyDescent="0.25">
      <c r="A68" s="701"/>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4" customHeight="1" x14ac:dyDescent="0.25">
      <c r="A69" s="701"/>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4" customHeight="1" x14ac:dyDescent="0.25">
      <c r="A70" s="701"/>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4" customHeight="1" x14ac:dyDescent="0.25">
      <c r="A71" s="701"/>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4" customHeight="1" x14ac:dyDescent="0.25">
      <c r="A72" s="701"/>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4" customHeight="1" x14ac:dyDescent="0.25">
      <c r="A73" s="701"/>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4" customHeight="1" x14ac:dyDescent="0.25">
      <c r="A74" s="701"/>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4" customHeight="1" x14ac:dyDescent="0.25">
      <c r="A75" s="701"/>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4" customHeight="1" x14ac:dyDescent="0.25">
      <c r="A76" s="701"/>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4" customHeight="1" x14ac:dyDescent="0.25">
      <c r="A77" s="701"/>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4" customHeight="1" x14ac:dyDescent="0.25">
      <c r="A78" s="701"/>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4" customHeight="1" x14ac:dyDescent="0.25">
      <c r="A79" s="701"/>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4" customHeight="1" x14ac:dyDescent="0.25">
      <c r="A80" s="701"/>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4" customHeight="1" x14ac:dyDescent="0.25">
      <c r="A81" s="701"/>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4" customHeight="1" x14ac:dyDescent="0.25">
      <c r="A82" s="701"/>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4" customHeight="1" x14ac:dyDescent="0.25">
      <c r="A83" s="701"/>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4" customHeight="1" x14ac:dyDescent="0.25">
      <c r="A84" s="701"/>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4" customHeight="1" x14ac:dyDescent="0.25">
      <c r="A85" s="701"/>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4" customHeight="1" x14ac:dyDescent="0.25">
      <c r="A86" s="701"/>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4" customHeight="1" x14ac:dyDescent="0.25">
      <c r="A87" s="701"/>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4" customHeight="1" x14ac:dyDescent="0.25">
      <c r="A88" s="701"/>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4" customHeight="1" x14ac:dyDescent="0.25">
      <c r="A89" s="701"/>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4" customHeight="1" x14ac:dyDescent="0.25">
      <c r="A90" s="701"/>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4" customHeight="1" x14ac:dyDescent="0.25">
      <c r="A91" s="701"/>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4" customHeight="1" x14ac:dyDescent="0.25">
      <c r="A92" s="701"/>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4" customHeight="1" x14ac:dyDescent="0.25">
      <c r="A93" s="701"/>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4" customHeight="1" x14ac:dyDescent="0.25">
      <c r="A94" s="701"/>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4" customHeight="1" x14ac:dyDescent="0.25">
      <c r="A95" s="701"/>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4" customHeight="1" x14ac:dyDescent="0.25">
      <c r="A96" s="701"/>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4" customHeight="1" x14ac:dyDescent="0.25">
      <c r="A97" s="701"/>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4" customHeight="1" x14ac:dyDescent="0.25">
      <c r="A98" s="701"/>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4" customHeight="1" x14ac:dyDescent="0.25">
      <c r="A99" s="701"/>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4" customHeight="1" x14ac:dyDescent="0.25">
      <c r="A100" s="701"/>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4" customHeight="1" x14ac:dyDescent="0.25">
      <c r="A101" s="701"/>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4" customHeight="1" x14ac:dyDescent="0.25">
      <c r="A102" s="701"/>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4" customHeight="1" x14ac:dyDescent="0.25">
      <c r="A103" s="701"/>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4" customHeight="1" x14ac:dyDescent="0.25">
      <c r="A104" s="701"/>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4" customHeight="1" x14ac:dyDescent="0.25">
      <c r="A105" s="701"/>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4" customHeight="1" x14ac:dyDescent="0.25">
      <c r="A106" s="701"/>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4" customHeight="1" x14ac:dyDescent="0.25">
      <c r="A107" s="701"/>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4" customHeight="1" x14ac:dyDescent="0.25">
      <c r="A108" s="701"/>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4" customHeight="1" x14ac:dyDescent="0.25">
      <c r="A109" s="701"/>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4" customHeight="1" x14ac:dyDescent="0.25">
      <c r="A110" s="701"/>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4" customHeight="1" x14ac:dyDescent="0.25">
      <c r="A111" s="701"/>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4" customHeight="1" x14ac:dyDescent="0.25">
      <c r="A112" s="701"/>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4" customHeight="1" x14ac:dyDescent="0.25">
      <c r="A113" s="701"/>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4" customHeight="1" x14ac:dyDescent="0.25">
      <c r="A114" s="701"/>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4" customHeight="1" x14ac:dyDescent="0.25">
      <c r="A115" s="701"/>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4" customHeight="1" x14ac:dyDescent="0.25">
      <c r="A116" s="701"/>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4" customHeight="1" x14ac:dyDescent="0.25">
      <c r="A117" s="701"/>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4" customHeight="1" x14ac:dyDescent="0.25">
      <c r="A118" s="701"/>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4" customHeight="1" x14ac:dyDescent="0.25">
      <c r="A119" s="701"/>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4" customHeight="1" x14ac:dyDescent="0.25">
      <c r="A120" s="701"/>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4" customHeight="1" x14ac:dyDescent="0.25">
      <c r="A121" s="701"/>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4" customHeight="1" x14ac:dyDescent="0.25">
      <c r="A122" s="701"/>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4" customHeight="1" x14ac:dyDescent="0.25">
      <c r="A123" s="701"/>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4" customHeight="1" x14ac:dyDescent="0.25">
      <c r="A124" s="701"/>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4" customHeight="1" x14ac:dyDescent="0.25">
      <c r="A125" s="701"/>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4" customHeight="1" x14ac:dyDescent="0.25">
      <c r="A126" s="701"/>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4" customHeight="1" x14ac:dyDescent="0.25">
      <c r="A127" s="701"/>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4" customHeight="1" x14ac:dyDescent="0.25">
      <c r="A128" s="701"/>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4" customHeight="1" x14ac:dyDescent="0.25">
      <c r="A129" s="701"/>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4" customHeight="1" x14ac:dyDescent="0.25">
      <c r="A130" s="701"/>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4" customHeight="1" x14ac:dyDescent="0.25">
      <c r="A131" s="701"/>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4" customHeight="1" x14ac:dyDescent="0.25">
      <c r="A132" s="701"/>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4" customHeight="1" x14ac:dyDescent="0.25">
      <c r="A133" s="701"/>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4" customHeight="1" x14ac:dyDescent="0.25">
      <c r="A134" s="701"/>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4" customHeight="1" x14ac:dyDescent="0.25">
      <c r="A135" s="701"/>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4" customHeight="1" x14ac:dyDescent="0.25">
      <c r="A136" s="701"/>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4" customHeight="1" x14ac:dyDescent="0.25">
      <c r="A137" s="701"/>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4" customHeight="1" x14ac:dyDescent="0.25">
      <c r="A138" s="701"/>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4" customHeight="1" x14ac:dyDescent="0.25">
      <c r="A139" s="701"/>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4" customHeight="1" x14ac:dyDescent="0.25">
      <c r="A140" s="701"/>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4" customHeight="1" x14ac:dyDescent="0.25">
      <c r="A141" s="701"/>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4" customHeight="1" x14ac:dyDescent="0.25">
      <c r="A142" s="701"/>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4" customHeight="1" x14ac:dyDescent="0.25">
      <c r="A143" s="701"/>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4" customHeight="1" x14ac:dyDescent="0.25">
      <c r="A144" s="701"/>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4" customHeight="1" x14ac:dyDescent="0.25">
      <c r="A145" s="701"/>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4" customHeight="1" x14ac:dyDescent="0.25">
      <c r="A146" s="701"/>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4" customHeight="1" x14ac:dyDescent="0.25">
      <c r="A147" s="701"/>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4" customHeight="1" x14ac:dyDescent="0.25">
      <c r="A148" s="701"/>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4" customHeight="1" x14ac:dyDescent="0.25">
      <c r="A149" s="701"/>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4" customHeight="1" x14ac:dyDescent="0.25">
      <c r="A150" s="701"/>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4" customHeight="1" x14ac:dyDescent="0.25">
      <c r="A151" s="701"/>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4" customHeight="1" x14ac:dyDescent="0.25">
      <c r="A152" s="701"/>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4" customHeight="1" x14ac:dyDescent="0.25">
      <c r="A153" s="701"/>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4" customHeight="1" x14ac:dyDescent="0.25">
      <c r="A154" s="701"/>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4" customHeight="1" x14ac:dyDescent="0.25">
      <c r="A155" s="701"/>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4" customHeight="1" x14ac:dyDescent="0.25">
      <c r="A156" s="701"/>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4" customHeight="1" x14ac:dyDescent="0.25">
      <c r="A157" s="701"/>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4" customHeight="1" x14ac:dyDescent="0.25">
      <c r="A158" s="701"/>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4" customHeight="1" x14ac:dyDescent="0.25">
      <c r="A159" s="701"/>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4" customHeight="1" x14ac:dyDescent="0.25">
      <c r="A160" s="701"/>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4" customHeight="1" x14ac:dyDescent="0.25">
      <c r="A161" s="701"/>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4" customHeight="1" x14ac:dyDescent="0.25">
      <c r="A162" s="701"/>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4" customHeight="1" x14ac:dyDescent="0.25">
      <c r="A163" s="701"/>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4" customHeight="1" x14ac:dyDescent="0.25">
      <c r="A164" s="701"/>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4" customHeight="1" x14ac:dyDescent="0.25">
      <c r="A165" s="701"/>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4" customHeight="1" x14ac:dyDescent="0.25">
      <c r="A166" s="701"/>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4" customHeight="1" x14ac:dyDescent="0.25">
      <c r="A167" s="701"/>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4" customHeight="1" x14ac:dyDescent="0.25">
      <c r="A168" s="701"/>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4" customHeight="1" x14ac:dyDescent="0.25">
      <c r="A169" s="701"/>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4" customHeight="1" x14ac:dyDescent="0.25">
      <c r="A170" s="701"/>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4" customHeight="1" x14ac:dyDescent="0.25">
      <c r="A171" s="701"/>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4" customHeight="1" x14ac:dyDescent="0.25">
      <c r="A172" s="701"/>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4" customHeight="1" x14ac:dyDescent="0.25">
      <c r="A173" s="701"/>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4" customHeight="1" x14ac:dyDescent="0.25">
      <c r="A174" s="701"/>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4" customHeight="1" x14ac:dyDescent="0.25">
      <c r="A175" s="701"/>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4" customHeight="1" x14ac:dyDescent="0.25">
      <c r="A176" s="701"/>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4" customHeight="1" x14ac:dyDescent="0.25">
      <c r="A177" s="701"/>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4" customHeight="1" x14ac:dyDescent="0.25">
      <c r="A178" s="701"/>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4" customHeight="1" x14ac:dyDescent="0.25">
      <c r="A179" s="701"/>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4" customHeight="1" x14ac:dyDescent="0.25">
      <c r="A180" s="701"/>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4" customHeight="1" x14ac:dyDescent="0.25">
      <c r="A181" s="701"/>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4" customHeight="1" x14ac:dyDescent="0.25">
      <c r="A182" s="701"/>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4" customHeight="1" x14ac:dyDescent="0.25">
      <c r="A183" s="701"/>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4" customHeight="1" x14ac:dyDescent="0.25">
      <c r="A184" s="701"/>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4" customHeight="1" x14ac:dyDescent="0.25">
      <c r="A185" s="701"/>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4" customHeight="1" x14ac:dyDescent="0.25">
      <c r="A186" s="701"/>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4" customHeight="1" x14ac:dyDescent="0.25">
      <c r="A187" s="701"/>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4" customHeight="1" x14ac:dyDescent="0.25">
      <c r="A188" s="701"/>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4" customHeight="1" x14ac:dyDescent="0.25">
      <c r="A189" s="701"/>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4" customHeight="1" x14ac:dyDescent="0.25">
      <c r="A190" s="701"/>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4" customHeight="1" x14ac:dyDescent="0.25">
      <c r="A191" s="701"/>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4" customHeight="1" x14ac:dyDescent="0.25">
      <c r="A192" s="701"/>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4" customHeight="1" x14ac:dyDescent="0.25">
      <c r="A193" s="701"/>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4" customHeight="1" x14ac:dyDescent="0.25">
      <c r="A194" s="701"/>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4" customHeight="1" x14ac:dyDescent="0.25">
      <c r="A195" s="701"/>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x14ac:dyDescent="0.25">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AY196" s="660"/>
      <c r="AZ196" s="660"/>
    </row>
    <row r="197" spans="1:52" ht="0" hidden="1" customHeight="1" x14ac:dyDescent="0.25">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AY197" s="660"/>
      <c r="AZ197" s="660"/>
    </row>
    <row r="198" spans="1:52" ht="0" hidden="1" customHeight="1" x14ac:dyDescent="0.25">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AY198" s="660"/>
      <c r="AZ198" s="660"/>
    </row>
    <row r="199" spans="1:52" ht="0" hidden="1" customHeight="1" x14ac:dyDescent="0.25">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AY199" s="660"/>
      <c r="AZ199" s="660"/>
    </row>
    <row r="200" spans="1:52" ht="0" hidden="1" customHeight="1" x14ac:dyDescent="0.25">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AY200" s="660"/>
      <c r="AZ200" s="660"/>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41" priority="1" operator="equal">
      <formula>"Review Later"</formula>
    </cfRule>
    <cfRule type="cellIs" dxfId="40" priority="2" operator="equal">
      <formula>"Finished"</formula>
    </cfRule>
    <cfRule type="cellIs" dxfId="39" priority="3" operator="equal">
      <formula>"Incomplete"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794" customWidth="1"/>
    <col min="2" max="2" width="14.109375" style="794" customWidth="1"/>
    <col min="3" max="9" width="11.6640625" style="794" customWidth="1"/>
    <col min="10" max="52" width="8.6640625" style="794" customWidth="1"/>
    <col min="53" max="55" width="0" style="794" hidden="1" customWidth="1"/>
    <col min="56" max="16384" width="8.6640625" style="794" hidden="1"/>
  </cols>
  <sheetData>
    <row r="1" spans="1:52" ht="14.4" customHeight="1" thickBot="1" x14ac:dyDescent="0.3">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 customHeight="1" x14ac:dyDescent="0.25">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 customHeight="1" x14ac:dyDescent="0.25">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 customHeight="1" x14ac:dyDescent="0.25">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 customHeight="1" x14ac:dyDescent="0.25">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 customHeight="1" x14ac:dyDescent="0.25">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 customHeight="1" x14ac:dyDescent="0.25">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 customHeight="1" x14ac:dyDescent="0.25">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 customHeight="1" x14ac:dyDescent="0.25">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 customHeight="1" x14ac:dyDescent="0.25">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 customHeight="1" x14ac:dyDescent="0.25">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 customHeight="1" x14ac:dyDescent="0.25">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 customHeight="1" x14ac:dyDescent="0.25">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 customHeight="1" thickBot="1" x14ac:dyDescent="0.3">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 customHeight="1" x14ac:dyDescent="0.25">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 customHeight="1" x14ac:dyDescent="0.25">
      <c r="A16" s="795" t="s">
        <v>0</v>
      </c>
      <c r="B16" s="795" t="s">
        <v>16</v>
      </c>
      <c r="C16" s="795" t="s">
        <v>980</v>
      </c>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 customHeight="1" x14ac:dyDescent="0.25">
      <c r="A17" s="795"/>
      <c r="B17" s="795"/>
      <c r="C17" s="795" t="s">
        <v>981</v>
      </c>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 customHeight="1" x14ac:dyDescent="0.25">
      <c r="A18" s="795"/>
      <c r="B18" s="795" t="s">
        <v>18</v>
      </c>
      <c r="C18" s="795" t="s">
        <v>982</v>
      </c>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 customHeight="1" x14ac:dyDescent="0.25">
      <c r="A19" s="795"/>
      <c r="B19" s="795"/>
      <c r="C19" s="795" t="s">
        <v>983</v>
      </c>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 customHeight="1" x14ac:dyDescent="0.25">
      <c r="A20" s="795"/>
      <c r="B20" s="795"/>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 customHeight="1" x14ac:dyDescent="0.25">
      <c r="A21" s="795" t="s">
        <v>1</v>
      </c>
      <c r="B21" s="795" t="s">
        <v>984</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 customHeight="1" x14ac:dyDescent="0.25">
      <c r="A22" s="795"/>
      <c r="B22" s="795" t="s">
        <v>985</v>
      </c>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 customHeight="1" x14ac:dyDescent="0.25">
      <c r="A23" s="795"/>
      <c r="B23" s="795"/>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 customHeight="1" x14ac:dyDescent="0.25">
      <c r="A24" s="795"/>
      <c r="B24" s="795"/>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 customHeight="1" x14ac:dyDescent="0.25">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 customHeight="1" x14ac:dyDescent="0.25">
      <c r="A26" s="795"/>
      <c r="B26" s="795"/>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 customHeight="1" x14ac:dyDescent="0.25">
      <c r="A27" s="795"/>
      <c r="B27" s="795"/>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 customHeight="1" x14ac:dyDescent="0.25">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 customHeight="1" x14ac:dyDescent="0.25">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 customHeight="1" x14ac:dyDescent="0.25">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 customHeight="1" x14ac:dyDescent="0.25">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 customHeight="1" x14ac:dyDescent="0.25">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 customHeight="1" x14ac:dyDescent="0.25">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 customHeight="1" x14ac:dyDescent="0.25">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 customHeight="1" x14ac:dyDescent="0.25">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 customHeight="1" x14ac:dyDescent="0.25">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 customHeight="1" x14ac:dyDescent="0.25">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 customHeight="1" x14ac:dyDescent="0.25">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 customHeight="1" x14ac:dyDescent="0.25">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 customHeight="1" x14ac:dyDescent="0.25">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 customHeight="1" x14ac:dyDescent="0.25">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 customHeight="1" x14ac:dyDescent="0.25">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 customHeight="1" x14ac:dyDescent="0.25">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 customHeight="1" x14ac:dyDescent="0.25">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 customHeight="1" x14ac:dyDescent="0.25">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 customHeight="1" x14ac:dyDescent="0.25">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 customHeight="1" x14ac:dyDescent="0.25">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 customHeight="1" x14ac:dyDescent="0.25">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 customHeight="1" x14ac:dyDescent="0.25">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 customHeight="1" x14ac:dyDescent="0.25">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 customHeight="1" x14ac:dyDescent="0.25">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 customHeight="1" x14ac:dyDescent="0.25">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 customHeight="1" x14ac:dyDescent="0.25">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 customHeight="1" x14ac:dyDescent="0.25">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 customHeight="1" x14ac:dyDescent="0.25">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 customHeight="1" x14ac:dyDescent="0.25">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 customHeight="1" x14ac:dyDescent="0.25">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 customHeight="1" x14ac:dyDescent="0.25">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 customHeight="1" x14ac:dyDescent="0.25">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 customHeight="1" x14ac:dyDescent="0.25">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 customHeight="1" x14ac:dyDescent="0.25">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 customHeight="1" x14ac:dyDescent="0.25">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 customHeight="1" x14ac:dyDescent="0.25">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 customHeight="1" x14ac:dyDescent="0.25">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 customHeight="1" x14ac:dyDescent="0.25">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 customHeight="1" x14ac:dyDescent="0.25">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 customHeight="1" x14ac:dyDescent="0.25">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 customHeight="1" x14ac:dyDescent="0.25">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 customHeight="1" x14ac:dyDescent="0.25">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 customHeight="1" x14ac:dyDescent="0.25">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 customHeight="1" x14ac:dyDescent="0.25">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 customHeight="1" x14ac:dyDescent="0.25">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 customHeight="1" x14ac:dyDescent="0.25">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 customHeight="1" x14ac:dyDescent="0.25">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 customHeight="1" x14ac:dyDescent="0.25">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 customHeight="1" x14ac:dyDescent="0.25">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 customHeight="1" x14ac:dyDescent="0.25">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 customHeight="1" x14ac:dyDescent="0.25">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 customHeight="1" x14ac:dyDescent="0.25">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 customHeight="1" x14ac:dyDescent="0.25">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 customHeight="1" x14ac:dyDescent="0.25">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 customHeight="1" x14ac:dyDescent="0.25">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 customHeight="1" x14ac:dyDescent="0.25">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 customHeight="1" x14ac:dyDescent="0.25">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 customHeight="1" x14ac:dyDescent="0.25">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 customHeight="1" x14ac:dyDescent="0.25">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 customHeight="1" x14ac:dyDescent="0.25">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 customHeight="1" x14ac:dyDescent="0.25">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 customHeight="1" x14ac:dyDescent="0.25">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 customHeight="1" x14ac:dyDescent="0.25">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 customHeight="1" x14ac:dyDescent="0.25">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 customHeight="1" x14ac:dyDescent="0.25">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 customHeight="1" x14ac:dyDescent="0.25">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 customHeight="1" x14ac:dyDescent="0.25">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 customHeight="1" x14ac:dyDescent="0.25">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 customHeight="1" x14ac:dyDescent="0.25">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 customHeight="1" x14ac:dyDescent="0.25">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 customHeight="1" x14ac:dyDescent="0.25">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 customHeight="1" x14ac:dyDescent="0.25">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 customHeight="1" x14ac:dyDescent="0.25">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 customHeight="1" x14ac:dyDescent="0.25">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 customHeight="1" x14ac:dyDescent="0.25">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 customHeight="1" x14ac:dyDescent="0.25">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 customHeight="1" x14ac:dyDescent="0.25">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 customHeight="1" x14ac:dyDescent="0.25">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 customHeight="1" x14ac:dyDescent="0.25">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 customHeight="1" x14ac:dyDescent="0.25">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 customHeight="1" x14ac:dyDescent="0.25">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 customHeight="1" x14ac:dyDescent="0.25">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 customHeight="1" x14ac:dyDescent="0.25">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 customHeight="1" x14ac:dyDescent="0.25">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 customHeight="1" x14ac:dyDescent="0.25">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 customHeight="1" x14ac:dyDescent="0.25">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 customHeight="1" x14ac:dyDescent="0.25">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 customHeight="1" x14ac:dyDescent="0.25">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 customHeight="1" x14ac:dyDescent="0.25">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 customHeight="1" x14ac:dyDescent="0.25">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 customHeight="1" x14ac:dyDescent="0.25">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 customHeight="1" x14ac:dyDescent="0.25">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 customHeight="1" x14ac:dyDescent="0.25">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 customHeight="1" x14ac:dyDescent="0.25">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 customHeight="1" x14ac:dyDescent="0.25">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 customHeight="1" x14ac:dyDescent="0.25">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 customHeight="1" x14ac:dyDescent="0.25">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 customHeight="1" x14ac:dyDescent="0.25">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 customHeight="1" x14ac:dyDescent="0.25">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 customHeight="1" x14ac:dyDescent="0.25">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 customHeight="1" x14ac:dyDescent="0.25">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 customHeight="1" x14ac:dyDescent="0.25">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 customHeight="1" x14ac:dyDescent="0.25">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 customHeight="1" x14ac:dyDescent="0.25">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 customHeight="1" x14ac:dyDescent="0.25">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 customHeight="1" x14ac:dyDescent="0.25">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 customHeight="1" x14ac:dyDescent="0.25">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 customHeight="1" x14ac:dyDescent="0.25">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 customHeight="1" x14ac:dyDescent="0.25">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 customHeight="1" x14ac:dyDescent="0.25">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 customHeight="1" x14ac:dyDescent="0.25">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 customHeight="1" x14ac:dyDescent="0.25">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 customHeight="1" x14ac:dyDescent="0.25">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 customHeight="1" x14ac:dyDescent="0.25">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 customHeight="1" x14ac:dyDescent="0.25">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 customHeight="1" x14ac:dyDescent="0.25">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 customHeight="1" x14ac:dyDescent="0.25">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 customHeight="1" x14ac:dyDescent="0.25">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 customHeight="1" x14ac:dyDescent="0.25">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 customHeight="1" x14ac:dyDescent="0.25">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 customHeight="1" x14ac:dyDescent="0.25">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 customHeight="1" x14ac:dyDescent="0.25">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 customHeight="1" x14ac:dyDescent="0.25">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 customHeight="1" x14ac:dyDescent="0.25">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 customHeight="1" x14ac:dyDescent="0.25">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 customHeight="1" x14ac:dyDescent="0.25">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 customHeight="1" x14ac:dyDescent="0.25">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 customHeight="1" x14ac:dyDescent="0.25">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 customHeight="1" x14ac:dyDescent="0.25">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 customHeight="1" x14ac:dyDescent="0.25">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 customHeight="1" x14ac:dyDescent="0.25">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 customHeight="1" x14ac:dyDescent="0.25">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 customHeight="1" x14ac:dyDescent="0.25">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 customHeight="1" x14ac:dyDescent="0.25">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 customHeight="1" x14ac:dyDescent="0.25">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 customHeight="1" x14ac:dyDescent="0.25">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 customHeight="1" x14ac:dyDescent="0.25">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 customHeight="1" x14ac:dyDescent="0.25">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 customHeight="1" x14ac:dyDescent="0.25">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 customHeight="1" x14ac:dyDescent="0.25">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 customHeight="1" x14ac:dyDescent="0.25">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 customHeight="1" x14ac:dyDescent="0.25">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 customHeight="1" x14ac:dyDescent="0.25">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 customHeight="1" x14ac:dyDescent="0.25">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 customHeight="1" x14ac:dyDescent="0.25">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 customHeight="1" x14ac:dyDescent="0.25">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 customHeight="1" x14ac:dyDescent="0.25">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 customHeight="1" x14ac:dyDescent="0.25">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 customHeight="1" x14ac:dyDescent="0.25">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 customHeight="1" x14ac:dyDescent="0.25">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 customHeight="1" x14ac:dyDescent="0.25">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 customHeight="1" x14ac:dyDescent="0.25">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 customHeight="1" x14ac:dyDescent="0.25">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 customHeight="1" x14ac:dyDescent="0.25">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 customHeight="1" x14ac:dyDescent="0.25">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 customHeight="1" x14ac:dyDescent="0.25">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 customHeight="1" x14ac:dyDescent="0.25">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 customHeight="1" x14ac:dyDescent="0.25">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 customHeight="1" x14ac:dyDescent="0.25">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 customHeight="1" x14ac:dyDescent="0.25">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 customHeight="1" x14ac:dyDescent="0.25">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 customHeight="1" x14ac:dyDescent="0.25">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 customHeight="1" x14ac:dyDescent="0.25">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 customHeight="1" x14ac:dyDescent="0.25">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 customHeight="1" x14ac:dyDescent="0.25">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 customHeight="1" x14ac:dyDescent="0.25">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 customHeight="1" x14ac:dyDescent="0.25">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 customHeight="1" x14ac:dyDescent="0.25">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228" priority="1" operator="equal">
      <formula>"Review Later"</formula>
    </cfRule>
    <cfRule type="cellIs" dxfId="227" priority="2" operator="equal">
      <formula>"Finished"</formula>
    </cfRule>
    <cfRule type="cellIs" dxfId="226" priority="3" operator="equal">
      <formula>"Incomplete"</formula>
    </cfRule>
  </conditionalFormatting>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9"/>
  <sheetViews>
    <sheetView workbookViewId="0"/>
  </sheetViews>
  <sheetFormatPr defaultColWidth="8.88671875" defaultRowHeight="13.2" x14ac:dyDescent="0.25"/>
  <cols>
    <col min="1" max="1" width="13" style="998" customWidth="1"/>
    <col min="2" max="2" width="16.109375" style="998" customWidth="1"/>
    <col min="3" max="11" width="13" style="998" customWidth="1"/>
    <col min="12" max="13" width="10.21875" style="998" customWidth="1"/>
    <col min="14" max="14" width="29.21875" style="998" bestFit="1" customWidth="1"/>
    <col min="15" max="15" width="14.44140625" style="998" bestFit="1" customWidth="1"/>
    <col min="16" max="16" width="15.21875" style="998" customWidth="1"/>
    <col min="17" max="17" width="10.21875" style="998" customWidth="1"/>
    <col min="18" max="18" width="18.33203125" style="998" bestFit="1" customWidth="1"/>
    <col min="19" max="30" width="10.21875" style="998" customWidth="1"/>
    <col min="31" max="16384" width="8.88671875" style="998"/>
  </cols>
  <sheetData>
    <row r="1" spans="1:30" ht="14.4" thickBot="1" x14ac:dyDescent="0.3">
      <c r="A1" s="3">
        <v>23</v>
      </c>
      <c r="B1" s="4"/>
      <c r="C1" s="658"/>
      <c r="D1" s="658"/>
      <c r="E1" s="658"/>
      <c r="F1" s="658"/>
      <c r="G1" s="658"/>
      <c r="H1" s="658"/>
      <c r="I1" s="658"/>
      <c r="J1" s="658"/>
      <c r="K1" s="658"/>
      <c r="L1" s="659"/>
      <c r="M1" s="660"/>
      <c r="N1" s="660"/>
      <c r="O1" s="660"/>
      <c r="P1" s="660"/>
      <c r="Q1" s="660"/>
      <c r="R1" s="660"/>
      <c r="S1" s="660"/>
      <c r="T1" s="660"/>
      <c r="U1" s="660"/>
      <c r="V1" s="660"/>
      <c r="W1" s="660"/>
      <c r="X1" s="660"/>
      <c r="Y1" s="660"/>
      <c r="Z1" s="660"/>
      <c r="AA1" s="660"/>
      <c r="AB1" s="660"/>
      <c r="AC1" s="660"/>
      <c r="AD1" s="660"/>
    </row>
    <row r="2" spans="1:30" ht="13.8" x14ac:dyDescent="0.25">
      <c r="A2" s="661" t="s">
        <v>4</v>
      </c>
      <c r="B2" s="662"/>
      <c r="C2" s="662"/>
      <c r="D2" s="662"/>
      <c r="E2" s="662"/>
      <c r="F2" s="662"/>
      <c r="G2" s="662"/>
      <c r="H2" s="662"/>
      <c r="I2" s="662"/>
      <c r="J2" s="662"/>
      <c r="K2" s="662"/>
      <c r="L2" s="663"/>
      <c r="M2" s="660"/>
      <c r="N2" s="660"/>
      <c r="O2" s="660"/>
      <c r="P2" s="660"/>
      <c r="Q2" s="660"/>
      <c r="R2" s="660"/>
      <c r="S2" s="660"/>
      <c r="T2" s="660"/>
      <c r="U2" s="660"/>
      <c r="V2" s="660"/>
      <c r="W2" s="660"/>
      <c r="X2" s="660"/>
      <c r="Y2" s="660"/>
      <c r="Z2" s="660"/>
      <c r="AA2" s="660"/>
      <c r="AB2" s="660"/>
      <c r="AC2" s="660"/>
      <c r="AD2" s="660"/>
    </row>
    <row r="3" spans="1:30" ht="13.8" x14ac:dyDescent="0.25">
      <c r="A3" s="664">
        <v>2.75</v>
      </c>
      <c r="B3" s="665"/>
      <c r="C3" s="662"/>
      <c r="D3" s="662"/>
      <c r="E3" s="662"/>
      <c r="F3" s="662"/>
      <c r="G3" s="662"/>
      <c r="H3" s="662"/>
      <c r="I3" s="662"/>
      <c r="J3" s="662"/>
      <c r="K3" s="662"/>
      <c r="L3" s="663"/>
      <c r="M3" s="660"/>
      <c r="N3" s="660"/>
      <c r="O3" s="660"/>
      <c r="P3" s="660"/>
      <c r="Q3" s="660"/>
      <c r="R3" s="660"/>
      <c r="S3" s="660"/>
      <c r="T3" s="660"/>
      <c r="U3" s="660"/>
      <c r="V3" s="660"/>
      <c r="W3" s="660"/>
      <c r="X3" s="660"/>
      <c r="Y3" s="660"/>
      <c r="Z3" s="660"/>
      <c r="AA3" s="660"/>
      <c r="AB3" s="660"/>
      <c r="AC3" s="660"/>
      <c r="AD3" s="660"/>
    </row>
    <row r="4" spans="1:30" ht="13.8" x14ac:dyDescent="0.25">
      <c r="A4" s="666"/>
      <c r="B4" s="662" t="s">
        <v>193</v>
      </c>
      <c r="C4" s="662"/>
      <c r="D4" s="662"/>
      <c r="E4" s="662"/>
      <c r="F4" s="662"/>
      <c r="G4" s="662"/>
      <c r="H4" s="662"/>
      <c r="I4" s="662"/>
      <c r="J4" s="662"/>
      <c r="K4" s="662"/>
      <c r="L4" s="663"/>
      <c r="M4" s="660"/>
      <c r="N4" s="660"/>
      <c r="O4" s="660"/>
      <c r="P4" s="660"/>
      <c r="Q4" s="660"/>
      <c r="R4" s="660"/>
      <c r="S4" s="660"/>
      <c r="T4" s="660"/>
      <c r="U4" s="660"/>
      <c r="V4" s="660"/>
      <c r="W4" s="660"/>
      <c r="X4" s="660"/>
      <c r="Y4" s="660"/>
      <c r="Z4" s="660"/>
      <c r="AA4" s="660"/>
      <c r="AB4" s="660"/>
      <c r="AC4" s="660"/>
      <c r="AD4" s="660"/>
    </row>
    <row r="5" spans="1:30" ht="14.4" thickBot="1" x14ac:dyDescent="0.3">
      <c r="A5" s="666"/>
      <c r="B5" s="662"/>
      <c r="C5" s="662"/>
      <c r="D5" s="662"/>
      <c r="E5" s="662"/>
      <c r="F5" s="662"/>
      <c r="G5" s="662"/>
      <c r="H5" s="662"/>
      <c r="I5" s="662"/>
      <c r="J5" s="662"/>
      <c r="K5" s="662"/>
      <c r="L5" s="663"/>
      <c r="M5" s="660"/>
      <c r="N5" s="660" t="s">
        <v>445</v>
      </c>
      <c r="O5" s="660"/>
      <c r="P5" s="660"/>
      <c r="Q5" s="660"/>
      <c r="R5" s="660"/>
      <c r="S5" s="660"/>
      <c r="T5" s="660"/>
      <c r="U5" s="660"/>
      <c r="V5" s="660"/>
      <c r="W5" s="660"/>
      <c r="X5" s="660"/>
      <c r="Y5" s="660"/>
      <c r="Z5" s="660"/>
      <c r="AA5" s="660"/>
      <c r="AB5" s="660"/>
      <c r="AC5" s="660"/>
      <c r="AD5" s="660"/>
    </row>
    <row r="6" spans="1:30" ht="14.4" thickBot="1" x14ac:dyDescent="0.3">
      <c r="A6" s="666"/>
      <c r="B6" s="667" t="s">
        <v>857</v>
      </c>
      <c r="C6" s="668" t="s">
        <v>858</v>
      </c>
      <c r="D6" s="668" t="s">
        <v>858</v>
      </c>
      <c r="E6" s="669" t="s">
        <v>859</v>
      </c>
      <c r="F6" s="662"/>
      <c r="G6" s="662"/>
      <c r="H6" s="662"/>
      <c r="I6" s="662"/>
      <c r="J6" s="662"/>
      <c r="K6" s="662"/>
      <c r="L6" s="663"/>
      <c r="M6" s="660"/>
      <c r="N6" s="660"/>
      <c r="O6" s="660"/>
      <c r="P6" s="660"/>
      <c r="Q6" s="660"/>
      <c r="R6" s="660"/>
      <c r="S6" s="660"/>
      <c r="T6" s="660"/>
      <c r="U6" s="660"/>
      <c r="V6" s="660"/>
      <c r="W6" s="660"/>
      <c r="X6" s="660"/>
      <c r="Y6" s="660"/>
      <c r="Z6" s="660"/>
      <c r="AA6" s="660"/>
      <c r="AB6" s="660"/>
      <c r="AC6" s="660"/>
      <c r="AD6" s="660"/>
    </row>
    <row r="7" spans="1:30" ht="14.4" thickBot="1" x14ac:dyDescent="0.3">
      <c r="A7" s="666"/>
      <c r="B7" s="670" t="s">
        <v>94</v>
      </c>
      <c r="C7" s="671" t="s">
        <v>860</v>
      </c>
      <c r="D7" s="671" t="s">
        <v>861</v>
      </c>
      <c r="E7" s="672" t="s">
        <v>861</v>
      </c>
      <c r="F7" s="662"/>
      <c r="G7" s="662"/>
      <c r="H7" s="662"/>
      <c r="I7" s="662"/>
      <c r="J7" s="662"/>
      <c r="K7" s="662"/>
      <c r="L7" s="663"/>
      <c r="M7" s="660"/>
      <c r="N7" s="667" t="s">
        <v>857</v>
      </c>
      <c r="O7" s="668" t="s">
        <v>858</v>
      </c>
      <c r="P7" s="668" t="s">
        <v>858</v>
      </c>
      <c r="Q7" s="660" t="s">
        <v>1237</v>
      </c>
      <c r="R7" s="660"/>
      <c r="S7" s="660"/>
      <c r="T7" s="660"/>
      <c r="U7" s="660"/>
      <c r="V7" s="660"/>
      <c r="W7" s="660"/>
      <c r="X7" s="660"/>
      <c r="Y7" s="660"/>
      <c r="Z7" s="660"/>
      <c r="AA7" s="660"/>
      <c r="AB7" s="660"/>
      <c r="AC7" s="660"/>
      <c r="AD7" s="660"/>
    </row>
    <row r="8" spans="1:30" ht="14.4" thickBot="1" x14ac:dyDescent="0.3">
      <c r="A8" s="666"/>
      <c r="B8" s="673">
        <v>2014</v>
      </c>
      <c r="C8" s="674">
        <v>25000</v>
      </c>
      <c r="D8" s="675">
        <v>62500</v>
      </c>
      <c r="E8" s="676">
        <v>250000</v>
      </c>
      <c r="F8" s="662"/>
      <c r="G8" s="662"/>
      <c r="H8" s="662"/>
      <c r="I8" s="662"/>
      <c r="J8" s="662"/>
      <c r="K8" s="662"/>
      <c r="L8" s="663"/>
      <c r="M8" s="660"/>
      <c r="N8" s="670" t="s">
        <v>94</v>
      </c>
      <c r="O8" s="671" t="s">
        <v>860</v>
      </c>
      <c r="P8" s="671" t="s">
        <v>861</v>
      </c>
      <c r="Q8" s="660" t="s">
        <v>1238</v>
      </c>
      <c r="R8" s="660"/>
      <c r="S8" s="660"/>
      <c r="T8" s="660"/>
      <c r="U8" s="660"/>
      <c r="V8" s="660"/>
      <c r="W8" s="660"/>
      <c r="X8" s="660"/>
      <c r="Y8" s="660"/>
      <c r="Z8" s="660"/>
      <c r="AA8" s="660"/>
      <c r="AB8" s="660"/>
      <c r="AC8" s="660"/>
      <c r="AD8" s="660"/>
    </row>
    <row r="9" spans="1:30" ht="13.8" x14ac:dyDescent="0.25">
      <c r="A9" s="666"/>
      <c r="B9" s="677">
        <v>2015</v>
      </c>
      <c r="C9" s="678">
        <v>50000</v>
      </c>
      <c r="D9" s="679">
        <v>250000</v>
      </c>
      <c r="E9" s="680">
        <v>500000</v>
      </c>
      <c r="F9" s="662"/>
      <c r="G9" s="662"/>
      <c r="H9" s="662"/>
      <c r="I9" s="662"/>
      <c r="J9" s="662"/>
      <c r="K9" s="662"/>
      <c r="L9" s="663"/>
      <c r="M9" s="660"/>
      <c r="N9" s="673">
        <v>2014</v>
      </c>
      <c r="O9" s="674">
        <v>25000</v>
      </c>
      <c r="P9" s="675">
        <v>62500</v>
      </c>
      <c r="Q9" s="660">
        <f>O9/P9</f>
        <v>0.4</v>
      </c>
      <c r="R9" s="660"/>
      <c r="S9" s="660"/>
      <c r="T9" s="660"/>
      <c r="U9" s="660"/>
      <c r="V9" s="660"/>
      <c r="W9" s="660"/>
      <c r="X9" s="660"/>
      <c r="Y9" s="660"/>
      <c r="Z9" s="660"/>
      <c r="AA9" s="660"/>
      <c r="AB9" s="660"/>
      <c r="AC9" s="660"/>
      <c r="AD9" s="660"/>
    </row>
    <row r="10" spans="1:30" ht="13.8" x14ac:dyDescent="0.25">
      <c r="A10" s="666"/>
      <c r="B10" s="677">
        <v>2016</v>
      </c>
      <c r="C10" s="678">
        <v>75000</v>
      </c>
      <c r="D10" s="679">
        <v>500000</v>
      </c>
      <c r="E10" s="680">
        <v>750000</v>
      </c>
      <c r="F10" s="662"/>
      <c r="G10" s="662"/>
      <c r="H10" s="662"/>
      <c r="I10" s="662"/>
      <c r="J10" s="662"/>
      <c r="K10" s="662"/>
      <c r="L10" s="663"/>
      <c r="M10" s="660"/>
      <c r="N10" s="677">
        <v>2015</v>
      </c>
      <c r="O10" s="678">
        <v>50000</v>
      </c>
      <c r="P10" s="679">
        <v>250000</v>
      </c>
      <c r="Q10" s="660">
        <f t="shared" ref="Q10:Q12" si="0">O10/P10</f>
        <v>0.2</v>
      </c>
      <c r="R10" s="660"/>
      <c r="S10" s="660"/>
      <c r="T10" s="660"/>
      <c r="U10" s="660"/>
      <c r="V10" s="660"/>
      <c r="W10" s="660"/>
      <c r="X10" s="660"/>
      <c r="Y10" s="660"/>
      <c r="Z10" s="660"/>
      <c r="AA10" s="660"/>
      <c r="AB10" s="660"/>
      <c r="AC10" s="660"/>
      <c r="AD10" s="660"/>
    </row>
    <row r="11" spans="1:30" ht="14.4" thickBot="1" x14ac:dyDescent="0.3">
      <c r="A11" s="666"/>
      <c r="B11" s="681">
        <v>2017</v>
      </c>
      <c r="C11" s="682">
        <v>90000</v>
      </c>
      <c r="D11" s="683">
        <v>600000</v>
      </c>
      <c r="E11" s="684">
        <v>900000</v>
      </c>
      <c r="F11" s="662"/>
      <c r="G11" s="662"/>
      <c r="H11" s="662"/>
      <c r="I11" s="662"/>
      <c r="J11" s="662"/>
      <c r="K11" s="662"/>
      <c r="L11" s="663"/>
      <c r="M11" s="660"/>
      <c r="N11" s="677">
        <v>2016</v>
      </c>
      <c r="O11" s="678">
        <v>75000</v>
      </c>
      <c r="P11" s="679">
        <v>500000</v>
      </c>
      <c r="Q11" s="660">
        <f t="shared" si="0"/>
        <v>0.15</v>
      </c>
      <c r="R11" s="660"/>
      <c r="S11" s="660"/>
      <c r="T11" s="660"/>
      <c r="U11" s="660"/>
      <c r="V11" s="660"/>
      <c r="W11" s="660"/>
      <c r="X11" s="660"/>
      <c r="Y11" s="660"/>
      <c r="Z11" s="660"/>
      <c r="AA11" s="660"/>
      <c r="AB11" s="660"/>
      <c r="AC11" s="660"/>
      <c r="AD11" s="660"/>
    </row>
    <row r="12" spans="1:30" ht="14.4" thickBot="1" x14ac:dyDescent="0.3">
      <c r="A12" s="666"/>
      <c r="B12" s="662"/>
      <c r="C12" s="662"/>
      <c r="D12" s="662"/>
      <c r="E12" s="662"/>
      <c r="F12" s="662"/>
      <c r="G12" s="662"/>
      <c r="H12" s="662"/>
      <c r="I12" s="662"/>
      <c r="J12" s="662"/>
      <c r="K12" s="662"/>
      <c r="L12" s="663"/>
      <c r="M12" s="660"/>
      <c r="N12" s="681">
        <v>2017</v>
      </c>
      <c r="O12" s="682">
        <v>90000</v>
      </c>
      <c r="P12" s="683">
        <v>600000</v>
      </c>
      <c r="Q12" s="660">
        <f t="shared" si="0"/>
        <v>0.15</v>
      </c>
      <c r="R12" s="660"/>
      <c r="S12" s="660"/>
      <c r="T12" s="660"/>
      <c r="U12" s="660"/>
      <c r="V12" s="660"/>
      <c r="W12" s="660"/>
      <c r="X12" s="660"/>
      <c r="Y12" s="660"/>
      <c r="Z12" s="660"/>
      <c r="AA12" s="660"/>
      <c r="AB12" s="660"/>
      <c r="AC12" s="660"/>
      <c r="AD12" s="660"/>
    </row>
    <row r="13" spans="1:30" ht="14.4" thickBot="1" x14ac:dyDescent="0.3">
      <c r="A13" s="666"/>
      <c r="B13" s="685" t="s">
        <v>863</v>
      </c>
      <c r="C13" s="686"/>
      <c r="D13" s="686"/>
      <c r="E13" s="686"/>
      <c r="F13" s="686"/>
      <c r="G13" s="686"/>
      <c r="H13" s="686"/>
      <c r="I13" s="687"/>
      <c r="J13" s="662"/>
      <c r="K13" s="662"/>
      <c r="L13" s="663"/>
      <c r="M13" s="660"/>
      <c r="N13" s="660"/>
      <c r="O13" s="660"/>
      <c r="P13" s="660"/>
      <c r="Q13" s="660"/>
      <c r="R13" s="660"/>
      <c r="S13" s="660"/>
      <c r="T13" s="660"/>
      <c r="U13" s="660"/>
      <c r="V13" s="660"/>
      <c r="W13" s="660"/>
      <c r="X13" s="660"/>
      <c r="Y13" s="660"/>
      <c r="Z13" s="660"/>
      <c r="AA13" s="660"/>
      <c r="AB13" s="660"/>
      <c r="AC13" s="660"/>
      <c r="AD13" s="660"/>
    </row>
    <row r="14" spans="1:30" ht="13.8" x14ac:dyDescent="0.25">
      <c r="A14" s="666"/>
      <c r="B14" s="688">
        <v>150000</v>
      </c>
      <c r="C14" s="689" t="s">
        <v>864</v>
      </c>
      <c r="D14" s="658"/>
      <c r="E14" s="658"/>
      <c r="F14" s="658"/>
      <c r="G14" s="658"/>
      <c r="H14" s="658"/>
      <c r="I14" s="659"/>
      <c r="J14" s="662"/>
      <c r="K14" s="662"/>
      <c r="L14" s="663"/>
      <c r="M14" s="660"/>
      <c r="N14" s="660"/>
      <c r="O14" s="660" t="s">
        <v>1239</v>
      </c>
      <c r="P14" s="660"/>
      <c r="Q14" s="660">
        <f>AVERAGE(Q10:Q12)</f>
        <v>0.16666666666666666</v>
      </c>
      <c r="R14" s="660"/>
      <c r="S14" s="660"/>
      <c r="T14" s="660"/>
      <c r="U14" s="660"/>
      <c r="V14" s="660"/>
      <c r="W14" s="660"/>
      <c r="X14" s="660"/>
      <c r="Y14" s="660"/>
      <c r="Z14" s="660"/>
      <c r="AA14" s="660"/>
      <c r="AB14" s="660"/>
      <c r="AC14" s="660"/>
      <c r="AD14" s="660"/>
    </row>
    <row r="15" spans="1:30" ht="13.8" x14ac:dyDescent="0.25">
      <c r="A15" s="666"/>
      <c r="B15" s="688">
        <v>100000</v>
      </c>
      <c r="C15" s="690" t="s">
        <v>866</v>
      </c>
      <c r="D15" s="662"/>
      <c r="E15" s="662"/>
      <c r="F15" s="662"/>
      <c r="G15" s="662"/>
      <c r="H15" s="662"/>
      <c r="I15" s="663"/>
      <c r="J15" s="662"/>
      <c r="K15" s="662"/>
      <c r="L15" s="663"/>
      <c r="M15" s="660"/>
      <c r="N15" s="660" t="s">
        <v>1240</v>
      </c>
      <c r="O15" s="660" t="s">
        <v>1241</v>
      </c>
      <c r="P15" s="660"/>
      <c r="Q15" s="660"/>
      <c r="R15" s="660"/>
      <c r="S15" s="660"/>
      <c r="T15" s="660"/>
      <c r="U15" s="660"/>
      <c r="V15" s="660"/>
      <c r="W15" s="660"/>
      <c r="X15" s="660"/>
      <c r="Y15" s="660"/>
      <c r="Z15" s="660"/>
      <c r="AA15" s="660"/>
      <c r="AB15" s="660"/>
      <c r="AC15" s="660"/>
      <c r="AD15" s="660"/>
    </row>
    <row r="16" spans="1:30" ht="14.4" thickBot="1" x14ac:dyDescent="0.3">
      <c r="A16" s="666"/>
      <c r="B16" s="691">
        <v>0.6</v>
      </c>
      <c r="C16" s="692" t="s">
        <v>867</v>
      </c>
      <c r="D16" s="693"/>
      <c r="E16" s="693"/>
      <c r="F16" s="693"/>
      <c r="G16" s="693"/>
      <c r="H16" s="693"/>
      <c r="I16" s="694"/>
      <c r="J16" s="662"/>
      <c r="K16" s="662"/>
      <c r="L16" s="663"/>
      <c r="M16" s="660"/>
      <c r="N16" s="660"/>
      <c r="O16" s="660"/>
      <c r="P16" s="660"/>
      <c r="Q16" s="660"/>
      <c r="R16" s="660"/>
      <c r="S16" s="660"/>
      <c r="T16" s="660"/>
      <c r="U16" s="660"/>
      <c r="V16" s="660"/>
      <c r="W16" s="660"/>
      <c r="X16" s="660"/>
      <c r="Y16" s="660"/>
      <c r="Z16" s="660"/>
      <c r="AA16" s="660"/>
      <c r="AB16" s="660"/>
      <c r="AC16" s="660"/>
      <c r="AD16" s="660"/>
    </row>
    <row r="17" spans="1:30" ht="13.8" x14ac:dyDescent="0.25">
      <c r="A17" s="666"/>
      <c r="B17" s="662"/>
      <c r="C17" s="662"/>
      <c r="D17" s="662"/>
      <c r="E17" s="662"/>
      <c r="F17" s="662"/>
      <c r="G17" s="662"/>
      <c r="H17" s="662"/>
      <c r="I17" s="662"/>
      <c r="J17" s="662"/>
      <c r="K17" s="662"/>
      <c r="L17" s="663"/>
      <c r="M17" s="660"/>
      <c r="N17" s="660" t="s">
        <v>1242</v>
      </c>
      <c r="O17" s="999">
        <f>Q14*0.5*(N19+B14)+1*Q14*(N21)</f>
        <v>24166.666666666664</v>
      </c>
      <c r="P17" s="660"/>
      <c r="Q17" s="660"/>
      <c r="R17" s="660"/>
      <c r="S17" s="660"/>
      <c r="T17" s="660"/>
      <c r="U17" s="660"/>
      <c r="V17" s="660"/>
      <c r="W17" s="660"/>
      <c r="X17" s="660"/>
      <c r="Y17" s="660"/>
      <c r="Z17" s="660"/>
      <c r="AA17" s="660"/>
      <c r="AB17" s="660"/>
      <c r="AC17" s="660"/>
      <c r="AD17" s="660"/>
    </row>
    <row r="18" spans="1:30" ht="13.8" x14ac:dyDescent="0.25">
      <c r="A18" s="664">
        <v>1.25</v>
      </c>
      <c r="B18" s="662" t="s">
        <v>0</v>
      </c>
      <c r="C18" s="662"/>
      <c r="D18" s="662"/>
      <c r="E18" s="662"/>
      <c r="F18" s="662"/>
      <c r="G18" s="662"/>
      <c r="H18" s="662"/>
      <c r="I18" s="662"/>
      <c r="J18" s="662"/>
      <c r="K18" s="662"/>
      <c r="L18" s="663"/>
      <c r="M18" s="660"/>
      <c r="N18" s="660" t="s">
        <v>869</v>
      </c>
      <c r="O18" s="660"/>
      <c r="P18" s="660"/>
      <c r="Q18" s="660"/>
      <c r="R18" s="660"/>
      <c r="S18" s="660"/>
      <c r="T18" s="660"/>
      <c r="U18" s="660"/>
      <c r="V18" s="660"/>
      <c r="W18" s="660"/>
      <c r="X18" s="660"/>
      <c r="Y18" s="660"/>
      <c r="Z18" s="660"/>
      <c r="AA18" s="660"/>
      <c r="AB18" s="660"/>
      <c r="AC18" s="660"/>
      <c r="AD18" s="660"/>
    </row>
    <row r="19" spans="1:30" ht="13.8" x14ac:dyDescent="0.25">
      <c r="A19" s="696"/>
      <c r="B19" s="662" t="s">
        <v>870</v>
      </c>
      <c r="C19" s="662"/>
      <c r="D19" s="662"/>
      <c r="E19" s="662"/>
      <c r="F19" s="662"/>
      <c r="G19" s="662"/>
      <c r="H19" s="662"/>
      <c r="I19" s="662"/>
      <c r="J19" s="662"/>
      <c r="K19" s="662"/>
      <c r="L19" s="663"/>
      <c r="M19" s="660"/>
      <c r="N19" s="695">
        <f>B16*B15</f>
        <v>60000</v>
      </c>
      <c r="O19" s="660"/>
      <c r="P19" s="660"/>
      <c r="Q19" s="660"/>
      <c r="R19" s="660"/>
      <c r="S19" s="660"/>
      <c r="T19" s="660"/>
      <c r="U19" s="660"/>
      <c r="V19" s="660"/>
      <c r="W19" s="660"/>
      <c r="X19" s="660"/>
      <c r="Y19" s="660"/>
      <c r="Z19" s="660"/>
      <c r="AA19" s="660"/>
      <c r="AB19" s="660"/>
      <c r="AC19" s="660"/>
      <c r="AD19" s="660"/>
    </row>
    <row r="20" spans="1:30" ht="13.8" x14ac:dyDescent="0.25">
      <c r="A20" s="696"/>
      <c r="B20" s="662" t="s">
        <v>872</v>
      </c>
      <c r="C20" s="662"/>
      <c r="D20" s="662"/>
      <c r="E20" s="662"/>
      <c r="F20" s="662"/>
      <c r="G20" s="662"/>
      <c r="H20" s="662"/>
      <c r="I20" s="662"/>
      <c r="J20" s="662"/>
      <c r="K20" s="662"/>
      <c r="L20" s="663"/>
      <c r="M20" s="660"/>
      <c r="N20" s="660" t="s">
        <v>871</v>
      </c>
      <c r="O20" s="660"/>
      <c r="P20" s="660"/>
      <c r="Q20" s="660"/>
      <c r="R20" s="660"/>
      <c r="S20" s="660"/>
      <c r="T20" s="660"/>
      <c r="U20" s="660"/>
      <c r="V20" s="660"/>
      <c r="W20" s="660"/>
      <c r="X20" s="660"/>
      <c r="Y20" s="660"/>
      <c r="Z20" s="660"/>
      <c r="AA20" s="660"/>
      <c r="AB20" s="660"/>
      <c r="AC20" s="660"/>
      <c r="AD20" s="660"/>
    </row>
    <row r="21" spans="1:30" ht="13.8" x14ac:dyDescent="0.25">
      <c r="A21" s="696"/>
      <c r="B21" s="662"/>
      <c r="C21" s="662"/>
      <c r="D21" s="662"/>
      <c r="E21" s="662"/>
      <c r="F21" s="662"/>
      <c r="G21" s="662"/>
      <c r="H21" s="662"/>
      <c r="I21" s="662"/>
      <c r="J21" s="662"/>
      <c r="K21" s="662"/>
      <c r="L21" s="663"/>
      <c r="M21" s="660"/>
      <c r="N21" s="695">
        <f>B15-N19</f>
        <v>40000</v>
      </c>
      <c r="O21" s="660"/>
      <c r="P21" s="660"/>
      <c r="Q21" s="660"/>
      <c r="R21" s="660"/>
      <c r="S21" s="660"/>
      <c r="T21" s="660"/>
      <c r="U21" s="660"/>
      <c r="V21" s="660"/>
      <c r="W21" s="660"/>
      <c r="X21" s="660"/>
      <c r="Y21" s="660"/>
      <c r="Z21" s="660"/>
      <c r="AA21" s="660"/>
      <c r="AB21" s="660"/>
      <c r="AC21" s="660"/>
      <c r="AD21" s="660"/>
    </row>
    <row r="22" spans="1:30" ht="13.8" x14ac:dyDescent="0.25">
      <c r="A22" s="664">
        <v>1</v>
      </c>
      <c r="B22" s="662" t="s">
        <v>1</v>
      </c>
      <c r="C22" s="662"/>
      <c r="D22" s="662"/>
      <c r="E22" s="662"/>
      <c r="F22" s="662"/>
      <c r="G22" s="662"/>
      <c r="H22" s="662"/>
      <c r="I22" s="662"/>
      <c r="J22" s="662"/>
      <c r="K22" s="662"/>
      <c r="L22" s="663"/>
      <c r="M22" s="660"/>
      <c r="N22" s="660"/>
      <c r="O22" s="660"/>
      <c r="P22" s="660"/>
      <c r="Q22" s="660"/>
      <c r="R22" s="660"/>
      <c r="S22" s="660"/>
      <c r="T22" s="660"/>
      <c r="U22" s="660"/>
      <c r="V22" s="660"/>
      <c r="W22" s="660"/>
      <c r="X22" s="660"/>
      <c r="Y22" s="660"/>
      <c r="Z22" s="660"/>
      <c r="AA22" s="660"/>
      <c r="AB22" s="660"/>
      <c r="AC22" s="660"/>
      <c r="AD22" s="660"/>
    </row>
    <row r="23" spans="1:30" ht="13.8" x14ac:dyDescent="0.25">
      <c r="A23" s="696"/>
      <c r="B23" s="662" t="s">
        <v>874</v>
      </c>
      <c r="C23" s="662"/>
      <c r="D23" s="662"/>
      <c r="E23" s="662"/>
      <c r="F23" s="662"/>
      <c r="G23" s="662"/>
      <c r="H23" s="662"/>
      <c r="I23" s="662"/>
      <c r="J23" s="662"/>
      <c r="K23" s="662"/>
      <c r="L23" s="663"/>
      <c r="M23" s="660"/>
      <c r="N23" s="660"/>
      <c r="O23" s="660"/>
      <c r="P23" s="660"/>
      <c r="Q23" s="660"/>
      <c r="R23" s="660"/>
      <c r="S23" s="660"/>
      <c r="T23" s="660"/>
      <c r="U23" s="660"/>
      <c r="V23" s="660"/>
      <c r="W23" s="660"/>
      <c r="X23" s="660"/>
      <c r="Y23" s="660"/>
      <c r="Z23" s="660"/>
      <c r="AA23" s="660"/>
      <c r="AB23" s="660"/>
      <c r="AC23" s="660"/>
      <c r="AD23" s="660"/>
    </row>
    <row r="24" spans="1:30" ht="14.4" thickBot="1" x14ac:dyDescent="0.3">
      <c r="A24" s="696"/>
      <c r="B24" s="662" t="s">
        <v>875</v>
      </c>
      <c r="C24" s="662"/>
      <c r="D24" s="662"/>
      <c r="E24" s="662"/>
      <c r="F24" s="662"/>
      <c r="G24" s="662"/>
      <c r="H24" s="662"/>
      <c r="I24" s="662"/>
      <c r="J24" s="662"/>
      <c r="K24" s="662"/>
      <c r="L24" s="663"/>
      <c r="M24" s="660"/>
      <c r="N24" s="660" t="s">
        <v>446</v>
      </c>
      <c r="O24" s="660"/>
      <c r="P24" s="660"/>
      <c r="Q24" s="660"/>
      <c r="R24" s="660"/>
      <c r="S24" s="660"/>
      <c r="T24" s="660"/>
      <c r="U24" s="660"/>
      <c r="V24" s="660"/>
      <c r="W24" s="660"/>
      <c r="X24" s="660"/>
      <c r="Y24" s="660"/>
      <c r="Z24" s="660"/>
      <c r="AA24" s="660"/>
      <c r="AB24" s="660"/>
      <c r="AC24" s="660"/>
      <c r="AD24" s="660"/>
    </row>
    <row r="25" spans="1:30" ht="13.8" x14ac:dyDescent="0.25">
      <c r="A25" s="696"/>
      <c r="B25" s="662"/>
      <c r="C25" s="662"/>
      <c r="D25" s="662"/>
      <c r="E25" s="662"/>
      <c r="F25" s="662"/>
      <c r="G25" s="662"/>
      <c r="H25" s="662"/>
      <c r="I25" s="662"/>
      <c r="J25" s="662"/>
      <c r="K25" s="662"/>
      <c r="L25" s="663"/>
      <c r="M25" s="660"/>
      <c r="N25" s="667" t="s">
        <v>857</v>
      </c>
      <c r="O25" s="668" t="s">
        <v>858</v>
      </c>
      <c r="P25" s="668" t="s">
        <v>858</v>
      </c>
      <c r="Q25" s="669" t="s">
        <v>859</v>
      </c>
      <c r="R25" s="660" t="s">
        <v>1243</v>
      </c>
      <c r="S25" s="660" t="s">
        <v>1237</v>
      </c>
      <c r="T25" s="660"/>
      <c r="U25" s="660"/>
      <c r="V25" s="660"/>
      <c r="W25" s="660"/>
      <c r="X25" s="660"/>
      <c r="Y25" s="660"/>
      <c r="Z25" s="660"/>
      <c r="AA25" s="660"/>
      <c r="AB25" s="660"/>
      <c r="AC25" s="660"/>
      <c r="AD25" s="660"/>
    </row>
    <row r="26" spans="1:30" ht="14.4" thickBot="1" x14ac:dyDescent="0.3">
      <c r="A26" s="664">
        <v>0.5</v>
      </c>
      <c r="B26" s="662" t="s">
        <v>2</v>
      </c>
      <c r="C26" s="662"/>
      <c r="D26" s="662"/>
      <c r="E26" s="662"/>
      <c r="F26" s="662"/>
      <c r="G26" s="662"/>
      <c r="H26" s="662"/>
      <c r="I26" s="662"/>
      <c r="J26" s="662"/>
      <c r="K26" s="662"/>
      <c r="L26" s="663"/>
      <c r="M26" s="660"/>
      <c r="N26" s="670" t="s">
        <v>94</v>
      </c>
      <c r="O26" s="671" t="s">
        <v>860</v>
      </c>
      <c r="P26" s="671" t="s">
        <v>861</v>
      </c>
      <c r="Q26" s="672" t="s">
        <v>861</v>
      </c>
      <c r="R26" s="660" t="s">
        <v>1244</v>
      </c>
      <c r="S26" s="660" t="s">
        <v>858</v>
      </c>
      <c r="T26" s="660"/>
      <c r="U26" s="660"/>
      <c r="V26" s="660"/>
      <c r="W26" s="660"/>
      <c r="X26" s="660"/>
      <c r="Y26" s="660"/>
      <c r="Z26" s="660"/>
      <c r="AA26" s="660"/>
      <c r="AB26" s="660"/>
      <c r="AC26" s="660"/>
      <c r="AD26" s="660"/>
    </row>
    <row r="27" spans="1:30" ht="13.8" x14ac:dyDescent="0.25">
      <c r="A27" s="698"/>
      <c r="B27" s="662" t="s">
        <v>878</v>
      </c>
      <c r="C27" s="662"/>
      <c r="D27" s="662"/>
      <c r="E27" s="662"/>
      <c r="F27" s="662"/>
      <c r="G27" s="662"/>
      <c r="H27" s="662"/>
      <c r="I27" s="662"/>
      <c r="J27" s="662"/>
      <c r="K27" s="662"/>
      <c r="L27" s="663"/>
      <c r="M27" s="660"/>
      <c r="N27" s="673">
        <v>2014</v>
      </c>
      <c r="O27" s="674">
        <v>25000</v>
      </c>
      <c r="P27" s="675">
        <v>62500</v>
      </c>
      <c r="Q27" s="676">
        <v>250000</v>
      </c>
      <c r="R27" s="699">
        <f>AVERAGE(P27:Q27)</f>
        <v>156250</v>
      </c>
      <c r="S27" s="660">
        <f>O27/R27</f>
        <v>0.16</v>
      </c>
      <c r="T27" s="660"/>
      <c r="U27" s="660"/>
      <c r="V27" s="660"/>
      <c r="W27" s="660"/>
      <c r="X27" s="660"/>
      <c r="Y27" s="660"/>
      <c r="Z27" s="660"/>
      <c r="AA27" s="660"/>
      <c r="AB27" s="660"/>
      <c r="AC27" s="660"/>
      <c r="AD27" s="660"/>
    </row>
    <row r="28" spans="1:30" ht="14.4" thickBot="1" x14ac:dyDescent="0.3">
      <c r="A28" s="700"/>
      <c r="B28" s="693"/>
      <c r="C28" s="693"/>
      <c r="D28" s="693"/>
      <c r="E28" s="693"/>
      <c r="F28" s="693"/>
      <c r="G28" s="693"/>
      <c r="H28" s="693"/>
      <c r="I28" s="693"/>
      <c r="J28" s="693"/>
      <c r="K28" s="693"/>
      <c r="L28" s="694"/>
      <c r="M28" s="660"/>
      <c r="N28" s="677">
        <v>2015</v>
      </c>
      <c r="O28" s="678">
        <v>50000</v>
      </c>
      <c r="P28" s="679">
        <v>250000</v>
      </c>
      <c r="Q28" s="680">
        <v>500000</v>
      </c>
      <c r="R28" s="699">
        <f t="shared" ref="R28:R30" si="1">AVERAGE(P28:Q28)</f>
        <v>375000</v>
      </c>
      <c r="S28" s="660">
        <f t="shared" ref="S28:S30" si="2">O28/R28</f>
        <v>0.13333333333333333</v>
      </c>
      <c r="T28" s="660"/>
      <c r="U28" s="660"/>
      <c r="V28" s="660"/>
      <c r="W28" s="660"/>
      <c r="X28" s="660"/>
      <c r="Y28" s="660"/>
      <c r="Z28" s="660"/>
      <c r="AA28" s="660"/>
      <c r="AB28" s="660"/>
      <c r="AC28" s="660"/>
      <c r="AD28" s="660"/>
    </row>
    <row r="29" spans="1:30" ht="13.8" x14ac:dyDescent="0.25">
      <c r="A29" s="701"/>
      <c r="B29" s="660"/>
      <c r="C29" s="660"/>
      <c r="D29" s="660"/>
      <c r="E29" s="660"/>
      <c r="F29" s="660"/>
      <c r="G29" s="660"/>
      <c r="H29" s="660"/>
      <c r="I29" s="660"/>
      <c r="J29" s="660"/>
      <c r="K29" s="660"/>
      <c r="L29" s="660"/>
      <c r="M29" s="660"/>
      <c r="N29" s="677">
        <v>2016</v>
      </c>
      <c r="O29" s="678">
        <v>75000</v>
      </c>
      <c r="P29" s="679">
        <v>500000</v>
      </c>
      <c r="Q29" s="680">
        <v>750000</v>
      </c>
      <c r="R29" s="699">
        <f t="shared" si="1"/>
        <v>625000</v>
      </c>
      <c r="S29" s="660">
        <f t="shared" si="2"/>
        <v>0.12</v>
      </c>
      <c r="T29" s="660"/>
      <c r="U29" s="660"/>
      <c r="V29" s="660"/>
      <c r="W29" s="660"/>
      <c r="X29" s="660"/>
      <c r="Y29" s="660"/>
      <c r="Z29" s="660"/>
      <c r="AA29" s="660"/>
      <c r="AB29" s="660"/>
      <c r="AC29" s="660"/>
      <c r="AD29" s="660"/>
    </row>
    <row r="30" spans="1:30" ht="14.4" thickBot="1" x14ac:dyDescent="0.3">
      <c r="A30" s="701"/>
      <c r="B30" s="660"/>
      <c r="C30" s="660"/>
      <c r="D30" s="660"/>
      <c r="E30" s="660"/>
      <c r="F30" s="660"/>
      <c r="G30" s="660"/>
      <c r="H30" s="660"/>
      <c r="I30" s="660"/>
      <c r="J30" s="660"/>
      <c r="K30" s="660"/>
      <c r="L30" s="660"/>
      <c r="M30" s="660"/>
      <c r="N30" s="681">
        <v>2017</v>
      </c>
      <c r="O30" s="682">
        <v>90000</v>
      </c>
      <c r="P30" s="683">
        <v>600000</v>
      </c>
      <c r="Q30" s="684">
        <v>900000</v>
      </c>
      <c r="R30" s="699">
        <f t="shared" si="1"/>
        <v>750000</v>
      </c>
      <c r="S30" s="660">
        <f t="shared" si="2"/>
        <v>0.12</v>
      </c>
      <c r="T30" s="660"/>
      <c r="U30" s="660"/>
      <c r="V30" s="660"/>
      <c r="W30" s="660"/>
      <c r="X30" s="660"/>
      <c r="Y30" s="660"/>
      <c r="Z30" s="660"/>
      <c r="AA30" s="660"/>
      <c r="AB30" s="660"/>
      <c r="AC30" s="660"/>
      <c r="AD30" s="660"/>
    </row>
    <row r="31" spans="1:30" ht="13.8" x14ac:dyDescent="0.25">
      <c r="A31" s="70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row>
    <row r="32" spans="1:30" ht="13.8" x14ac:dyDescent="0.25">
      <c r="A32" s="701"/>
      <c r="B32" s="660"/>
      <c r="C32" s="660"/>
      <c r="D32" s="660"/>
      <c r="E32" s="660"/>
      <c r="F32" s="660"/>
      <c r="G32" s="660"/>
      <c r="H32" s="660"/>
      <c r="I32" s="660"/>
      <c r="J32" s="660"/>
      <c r="K32" s="660"/>
      <c r="L32" s="660"/>
      <c r="M32" s="660"/>
      <c r="N32" s="660"/>
      <c r="O32" s="660" t="s">
        <v>1245</v>
      </c>
      <c r="P32" s="660"/>
      <c r="Q32" s="660"/>
      <c r="R32" s="660"/>
      <c r="S32" s="660">
        <f>AVERAGE(S27:S30)</f>
        <v>0.13333333333333333</v>
      </c>
      <c r="T32" s="660" t="s">
        <v>1246</v>
      </c>
      <c r="U32" s="660"/>
      <c r="V32" s="660"/>
      <c r="W32" s="660"/>
      <c r="X32" s="660"/>
      <c r="Y32" s="660"/>
      <c r="Z32" s="660"/>
      <c r="AA32" s="660"/>
      <c r="AB32" s="660"/>
      <c r="AC32" s="660"/>
      <c r="AD32" s="660"/>
    </row>
    <row r="33" spans="1:30" ht="13.8" x14ac:dyDescent="0.25">
      <c r="A33" s="701"/>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row>
    <row r="34" spans="1:30" ht="13.8" x14ac:dyDescent="0.25">
      <c r="A34" s="701"/>
      <c r="B34" s="660"/>
      <c r="C34" s="660"/>
      <c r="D34" s="660"/>
      <c r="E34" s="660"/>
      <c r="F34" s="660"/>
      <c r="G34" s="660"/>
      <c r="H34" s="660"/>
      <c r="I34" s="660"/>
      <c r="J34" s="660"/>
      <c r="K34" s="660"/>
      <c r="L34" s="660"/>
      <c r="M34" s="660"/>
      <c r="N34" s="660" t="s">
        <v>1247</v>
      </c>
      <c r="O34" s="999">
        <f>S32*0.5*(B14+N19)+S32*N21*1</f>
        <v>19333.333333333332</v>
      </c>
      <c r="P34" s="660"/>
      <c r="Q34" s="660"/>
      <c r="R34" s="660"/>
      <c r="S34" s="660"/>
      <c r="T34" s="660"/>
      <c r="U34" s="660"/>
      <c r="V34" s="660"/>
      <c r="W34" s="660"/>
      <c r="X34" s="660"/>
      <c r="Y34" s="660"/>
      <c r="Z34" s="660"/>
      <c r="AA34" s="660"/>
      <c r="AB34" s="660"/>
      <c r="AC34" s="660"/>
      <c r="AD34" s="660"/>
    </row>
    <row r="35" spans="1:30" ht="13.8" x14ac:dyDescent="0.25">
      <c r="A35" s="701"/>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row>
    <row r="36" spans="1:30" ht="13.8" x14ac:dyDescent="0.25">
      <c r="A36" s="701"/>
      <c r="B36" s="660"/>
      <c r="C36" s="660"/>
      <c r="D36" s="660"/>
      <c r="E36" s="660"/>
      <c r="F36" s="660"/>
      <c r="G36" s="660"/>
      <c r="H36" s="660"/>
      <c r="I36" s="660"/>
      <c r="J36" s="660"/>
      <c r="K36" s="660"/>
      <c r="L36" s="660"/>
      <c r="M36" s="660"/>
      <c r="N36" s="660" t="s">
        <v>479</v>
      </c>
      <c r="O36" s="660"/>
      <c r="P36" s="660"/>
      <c r="Q36" s="660"/>
      <c r="R36" s="660"/>
      <c r="S36" s="660"/>
      <c r="T36" s="660"/>
      <c r="U36" s="660"/>
      <c r="V36" s="660"/>
      <c r="W36" s="660"/>
      <c r="X36" s="660"/>
      <c r="Y36" s="660"/>
      <c r="Z36" s="660"/>
      <c r="AA36" s="660"/>
      <c r="AB36" s="660"/>
      <c r="AC36" s="660"/>
      <c r="AD36" s="660"/>
    </row>
    <row r="37" spans="1:30" ht="13.8" x14ac:dyDescent="0.25">
      <c r="A37" s="701"/>
      <c r="B37" s="660"/>
      <c r="C37" s="660"/>
      <c r="D37" s="660"/>
      <c r="E37" s="660"/>
      <c r="F37" s="660"/>
      <c r="G37" s="660"/>
      <c r="H37" s="660"/>
      <c r="I37" s="660"/>
      <c r="J37" s="660"/>
      <c r="K37" s="660"/>
      <c r="L37" s="660"/>
      <c r="M37" s="660"/>
      <c r="N37" s="660" t="s">
        <v>1248</v>
      </c>
      <c r="O37" s="660"/>
      <c r="P37" s="660"/>
      <c r="Q37" s="660"/>
      <c r="R37" s="660"/>
      <c r="S37" s="660"/>
      <c r="T37" s="660"/>
      <c r="U37" s="660"/>
      <c r="V37" s="660"/>
      <c r="W37" s="660"/>
      <c r="X37" s="660"/>
      <c r="Y37" s="660"/>
      <c r="Z37" s="660"/>
      <c r="AA37" s="660"/>
      <c r="AB37" s="660"/>
      <c r="AC37" s="660"/>
      <c r="AD37" s="660"/>
    </row>
    <row r="38" spans="1:30" ht="13.8" x14ac:dyDescent="0.25">
      <c r="A38" s="701"/>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row>
    <row r="39" spans="1:30" ht="13.8" x14ac:dyDescent="0.25">
      <c r="A39" s="701"/>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row>
    <row r="40" spans="1:30" ht="13.8" x14ac:dyDescent="0.25">
      <c r="A40" s="701"/>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row>
    <row r="41" spans="1:30" ht="13.8" x14ac:dyDescent="0.25">
      <c r="A41" s="701"/>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row>
    <row r="42" spans="1:30" ht="13.8" x14ac:dyDescent="0.25">
      <c r="A42" s="701"/>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row>
    <row r="43" spans="1:30" ht="13.8" x14ac:dyDescent="0.25">
      <c r="A43" s="701"/>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row>
    <row r="44" spans="1:30" ht="13.8" x14ac:dyDescent="0.25">
      <c r="A44" s="701"/>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row>
    <row r="45" spans="1:30" ht="13.8" x14ac:dyDescent="0.25">
      <c r="A45" s="70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row>
    <row r="46" spans="1:30" ht="13.8" x14ac:dyDescent="0.25">
      <c r="A46" s="701"/>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row>
    <row r="47" spans="1:30" ht="13.8" x14ac:dyDescent="0.25">
      <c r="A47" s="701"/>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row>
    <row r="48" spans="1:30" ht="13.8" x14ac:dyDescent="0.25">
      <c r="A48" s="701"/>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row>
    <row r="49" spans="1:30" ht="13.8" x14ac:dyDescent="0.25">
      <c r="A49" s="701"/>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row>
    <row r="50" spans="1:30" ht="13.8" x14ac:dyDescent="0.25">
      <c r="A50" s="701"/>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row>
    <row r="51" spans="1:30" ht="13.8" x14ac:dyDescent="0.25">
      <c r="A51" s="701"/>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row>
    <row r="52" spans="1:30" ht="13.8" x14ac:dyDescent="0.25">
      <c r="A52" s="701"/>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row>
    <row r="53" spans="1:30" ht="13.8" x14ac:dyDescent="0.25">
      <c r="A53" s="70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row>
    <row r="54" spans="1:30" ht="13.8" x14ac:dyDescent="0.25">
      <c r="A54" s="701"/>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row>
    <row r="55" spans="1:30" ht="13.8" x14ac:dyDescent="0.25">
      <c r="A55" s="701"/>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row>
    <row r="56" spans="1:30" ht="13.8" x14ac:dyDescent="0.25">
      <c r="A56" s="701"/>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row>
    <row r="57" spans="1:30" ht="13.8" x14ac:dyDescent="0.25">
      <c r="A57" s="701"/>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row>
    <row r="58" spans="1:30" ht="13.8" x14ac:dyDescent="0.25">
      <c r="A58" s="701"/>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row>
    <row r="59" spans="1:30" ht="13.8" x14ac:dyDescent="0.25">
      <c r="A59" s="701"/>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row>
    <row r="60" spans="1:30" ht="13.8" x14ac:dyDescent="0.25">
      <c r="A60" s="701"/>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row>
    <row r="61" spans="1:30" ht="13.8" x14ac:dyDescent="0.25">
      <c r="A61" s="701"/>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row>
    <row r="62" spans="1:30" ht="13.8" x14ac:dyDescent="0.25">
      <c r="A62" s="701"/>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row>
    <row r="63" spans="1:30" ht="13.8" x14ac:dyDescent="0.25">
      <c r="A63" s="701"/>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row>
    <row r="64" spans="1:30" ht="13.8" x14ac:dyDescent="0.25">
      <c r="A64" s="701"/>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row>
    <row r="65" spans="1:30" ht="13.8" x14ac:dyDescent="0.25">
      <c r="A65" s="701"/>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row>
    <row r="66" spans="1:30" ht="13.8" x14ac:dyDescent="0.25">
      <c r="A66" s="701"/>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row>
    <row r="67" spans="1:30" ht="13.8" x14ac:dyDescent="0.25">
      <c r="A67" s="701"/>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row>
    <row r="68" spans="1:30" ht="13.8" x14ac:dyDescent="0.25">
      <c r="A68" s="701"/>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row>
    <row r="69" spans="1:30" ht="13.8" x14ac:dyDescent="0.25">
      <c r="A69" s="701"/>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row>
    <row r="70" spans="1:30" ht="13.8" x14ac:dyDescent="0.25">
      <c r="A70" s="701"/>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row>
    <row r="71" spans="1:30" ht="13.8" x14ac:dyDescent="0.25">
      <c r="A71" s="701"/>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row>
    <row r="72" spans="1:30" ht="13.8" x14ac:dyDescent="0.25">
      <c r="A72" s="701"/>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row>
    <row r="73" spans="1:30" ht="13.8" x14ac:dyDescent="0.25">
      <c r="A73" s="701"/>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row>
    <row r="74" spans="1:30" ht="13.8" x14ac:dyDescent="0.25">
      <c r="A74" s="701"/>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row>
    <row r="75" spans="1:30" ht="13.8" x14ac:dyDescent="0.25">
      <c r="A75" s="701"/>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row>
    <row r="76" spans="1:30" ht="13.8" x14ac:dyDescent="0.25">
      <c r="A76" s="701"/>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row>
    <row r="77" spans="1:30" ht="13.8" x14ac:dyDescent="0.25">
      <c r="A77" s="701"/>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row>
    <row r="78" spans="1:30" ht="13.8" x14ac:dyDescent="0.25">
      <c r="A78" s="701"/>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row>
    <row r="79" spans="1:30" ht="13.8" x14ac:dyDescent="0.25">
      <c r="A79" s="701"/>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row>
    <row r="80" spans="1:30" ht="13.8" x14ac:dyDescent="0.25">
      <c r="A80" s="701"/>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row>
    <row r="81" spans="1:30" ht="13.8" x14ac:dyDescent="0.25">
      <c r="A81" s="701"/>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row>
    <row r="82" spans="1:30" ht="13.8" x14ac:dyDescent="0.25">
      <c r="A82" s="701"/>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row>
    <row r="83" spans="1:30" ht="13.8" x14ac:dyDescent="0.25">
      <c r="A83" s="701"/>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row>
    <row r="84" spans="1:30" ht="13.8" x14ac:dyDescent="0.25">
      <c r="A84" s="701"/>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row>
    <row r="85" spans="1:30" ht="13.8" x14ac:dyDescent="0.25">
      <c r="A85" s="701"/>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row>
    <row r="86" spans="1:30" ht="13.8" x14ac:dyDescent="0.25">
      <c r="A86" s="701"/>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row>
    <row r="87" spans="1:30" ht="13.8" x14ac:dyDescent="0.25">
      <c r="A87" s="701"/>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row>
    <row r="88" spans="1:30" ht="13.8" x14ac:dyDescent="0.25">
      <c r="A88" s="701"/>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row>
    <row r="89" spans="1:30" ht="13.8" x14ac:dyDescent="0.25">
      <c r="A89" s="701"/>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row>
    <row r="90" spans="1:30" ht="13.8" x14ac:dyDescent="0.25">
      <c r="A90" s="701"/>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row>
    <row r="91" spans="1:30" ht="13.8" x14ac:dyDescent="0.25">
      <c r="A91" s="701"/>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row>
    <row r="92" spans="1:30" ht="13.8" x14ac:dyDescent="0.25">
      <c r="A92" s="701"/>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row>
    <row r="93" spans="1:30" ht="13.8" x14ac:dyDescent="0.25">
      <c r="A93" s="701"/>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row>
    <row r="94" spans="1:30" ht="13.8" x14ac:dyDescent="0.25">
      <c r="A94" s="701"/>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row>
    <row r="95" spans="1:30" ht="13.8" x14ac:dyDescent="0.25">
      <c r="A95" s="701"/>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row>
    <row r="96" spans="1:30" ht="13.8" x14ac:dyDescent="0.25">
      <c r="A96" s="701"/>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row>
    <row r="97" spans="1:30" ht="13.8" x14ac:dyDescent="0.25">
      <c r="A97" s="701"/>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row>
    <row r="98" spans="1:30" ht="13.8" x14ac:dyDescent="0.25">
      <c r="A98" s="701"/>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row>
    <row r="99" spans="1:30" ht="13.8" x14ac:dyDescent="0.25">
      <c r="A99" s="701"/>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row>
    <row r="100" spans="1:30" ht="13.8" x14ac:dyDescent="0.25">
      <c r="A100" s="701"/>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row>
    <row r="101" spans="1:30" ht="13.8" x14ac:dyDescent="0.25">
      <c r="A101" s="701"/>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row>
    <row r="102" spans="1:30" ht="13.8" x14ac:dyDescent="0.25">
      <c r="A102" s="701"/>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row>
    <row r="103" spans="1:30" ht="13.8" x14ac:dyDescent="0.25">
      <c r="A103" s="701"/>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row>
    <row r="104" spans="1:30" ht="13.8" x14ac:dyDescent="0.25">
      <c r="A104" s="701"/>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row>
    <row r="105" spans="1:30" ht="13.8" x14ac:dyDescent="0.25">
      <c r="A105" s="701"/>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row>
    <row r="106" spans="1:30" ht="13.8" x14ac:dyDescent="0.25">
      <c r="A106" s="701"/>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row>
    <row r="107" spans="1:30" ht="13.8" x14ac:dyDescent="0.25">
      <c r="A107" s="701"/>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row>
    <row r="108" spans="1:30" ht="13.8" x14ac:dyDescent="0.25">
      <c r="A108" s="701"/>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row>
    <row r="109" spans="1:30" ht="13.8" x14ac:dyDescent="0.25">
      <c r="A109" s="701"/>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row>
    <row r="110" spans="1:30" ht="13.8" x14ac:dyDescent="0.25">
      <c r="A110" s="701"/>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row>
    <row r="111" spans="1:30" ht="13.8" x14ac:dyDescent="0.25">
      <c r="A111" s="701"/>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row>
    <row r="112" spans="1:30" ht="13.8" x14ac:dyDescent="0.25">
      <c r="A112" s="701"/>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row>
    <row r="113" spans="1:30" ht="13.8" x14ac:dyDescent="0.25">
      <c r="A113" s="701"/>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row>
    <row r="114" spans="1:30" ht="13.8" x14ac:dyDescent="0.25">
      <c r="A114" s="701"/>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row>
    <row r="115" spans="1:30" ht="13.8" x14ac:dyDescent="0.25">
      <c r="A115" s="701"/>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row>
    <row r="116" spans="1:30" ht="13.8" x14ac:dyDescent="0.25">
      <c r="A116" s="701"/>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row>
    <row r="117" spans="1:30" ht="13.8" x14ac:dyDescent="0.25">
      <c r="A117" s="701"/>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row>
    <row r="118" spans="1:30" ht="13.8" x14ac:dyDescent="0.25">
      <c r="A118" s="701"/>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row>
    <row r="119" spans="1:30" ht="13.8" x14ac:dyDescent="0.25">
      <c r="A119" s="701"/>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row>
    <row r="120" spans="1:30" ht="13.8" x14ac:dyDescent="0.25">
      <c r="A120" s="701"/>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row>
    <row r="121" spans="1:30" ht="13.8" x14ac:dyDescent="0.25">
      <c r="A121" s="701"/>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row>
    <row r="122" spans="1:30" ht="13.8" x14ac:dyDescent="0.25">
      <c r="A122" s="701"/>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row>
    <row r="123" spans="1:30" ht="13.8" x14ac:dyDescent="0.25">
      <c r="A123" s="701"/>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row>
    <row r="124" spans="1:30" ht="13.8" x14ac:dyDescent="0.25">
      <c r="A124" s="701"/>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row>
    <row r="125" spans="1:30" ht="13.8" x14ac:dyDescent="0.25">
      <c r="A125" s="701"/>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row>
    <row r="126" spans="1:30" ht="13.8" x14ac:dyDescent="0.25">
      <c r="A126" s="701"/>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row>
    <row r="127" spans="1:30" ht="13.8" x14ac:dyDescent="0.25">
      <c r="A127" s="701"/>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row>
    <row r="128" spans="1:30" ht="13.8" x14ac:dyDescent="0.25">
      <c r="A128" s="701"/>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row>
    <row r="129" spans="1:30" ht="13.8" x14ac:dyDescent="0.25">
      <c r="A129" s="701"/>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row>
    <row r="130" spans="1:30" ht="13.8" x14ac:dyDescent="0.25">
      <c r="A130" s="701"/>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row>
    <row r="131" spans="1:30" ht="13.8" x14ac:dyDescent="0.25">
      <c r="A131" s="701"/>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row>
    <row r="132" spans="1:30" ht="13.8" x14ac:dyDescent="0.25">
      <c r="A132" s="701"/>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row>
    <row r="133" spans="1:30" ht="13.8" x14ac:dyDescent="0.25">
      <c r="A133" s="701"/>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row>
    <row r="134" spans="1:30" ht="13.8" x14ac:dyDescent="0.25">
      <c r="A134" s="701"/>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row>
    <row r="135" spans="1:30" ht="13.8" x14ac:dyDescent="0.25">
      <c r="A135" s="701"/>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row>
    <row r="136" spans="1:30" ht="13.8" x14ac:dyDescent="0.25">
      <c r="A136" s="701"/>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row>
    <row r="137" spans="1:30" ht="13.8" x14ac:dyDescent="0.25">
      <c r="A137" s="701"/>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row>
    <row r="138" spans="1:30" ht="13.8" x14ac:dyDescent="0.25">
      <c r="A138" s="701"/>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row>
    <row r="139" spans="1:30" ht="13.8" x14ac:dyDescent="0.25">
      <c r="A139" s="701"/>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row>
    <row r="140" spans="1:30" ht="13.8" x14ac:dyDescent="0.25">
      <c r="A140" s="701"/>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row>
    <row r="141" spans="1:30" ht="13.8" x14ac:dyDescent="0.25">
      <c r="A141" s="701"/>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row>
    <row r="142" spans="1:30" ht="13.8" x14ac:dyDescent="0.25">
      <c r="A142" s="701"/>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row>
    <row r="143" spans="1:30" ht="13.8" x14ac:dyDescent="0.25">
      <c r="A143" s="701"/>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row>
    <row r="144" spans="1:30" ht="13.8" x14ac:dyDescent="0.25">
      <c r="A144" s="701"/>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row>
    <row r="145" spans="1:30" ht="13.8" x14ac:dyDescent="0.25">
      <c r="A145" s="701"/>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row>
    <row r="146" spans="1:30" ht="13.8" x14ac:dyDescent="0.25">
      <c r="A146" s="701"/>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row>
    <row r="147" spans="1:30" ht="13.8" x14ac:dyDescent="0.25">
      <c r="A147" s="701"/>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row>
    <row r="148" spans="1:30" ht="13.8" x14ac:dyDescent="0.25">
      <c r="A148" s="701"/>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row>
    <row r="149" spans="1:30" ht="13.8" x14ac:dyDescent="0.25">
      <c r="A149" s="701"/>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row>
    <row r="150" spans="1:30" ht="13.8" x14ac:dyDescent="0.25">
      <c r="A150" s="701"/>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row>
    <row r="151" spans="1:30" ht="13.8" x14ac:dyDescent="0.25">
      <c r="A151" s="701"/>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row>
    <row r="152" spans="1:30" ht="13.8" x14ac:dyDescent="0.25">
      <c r="A152" s="701"/>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row>
    <row r="153" spans="1:30" ht="13.8" x14ac:dyDescent="0.25">
      <c r="A153" s="701"/>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row>
    <row r="154" spans="1:30" ht="13.8" x14ac:dyDescent="0.25">
      <c r="A154" s="701"/>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row>
    <row r="155" spans="1:30" ht="13.8" x14ac:dyDescent="0.25">
      <c r="A155" s="701"/>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row>
    <row r="156" spans="1:30" ht="13.8" x14ac:dyDescent="0.25">
      <c r="A156" s="701"/>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row>
    <row r="157" spans="1:30" ht="13.8" x14ac:dyDescent="0.25">
      <c r="A157" s="701"/>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row>
    <row r="158" spans="1:30" ht="13.8" x14ac:dyDescent="0.25">
      <c r="A158" s="701"/>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row>
    <row r="159" spans="1:30" ht="13.8" x14ac:dyDescent="0.25">
      <c r="A159" s="701"/>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row>
    <row r="160" spans="1:30" ht="13.8" x14ac:dyDescent="0.25">
      <c r="A160" s="701"/>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row>
    <row r="161" spans="1:30" ht="13.8" x14ac:dyDescent="0.25">
      <c r="A161" s="701"/>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row>
    <row r="162" spans="1:30" ht="13.8" x14ac:dyDescent="0.25">
      <c r="A162" s="701"/>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row>
    <row r="163" spans="1:30" ht="13.8" x14ac:dyDescent="0.25">
      <c r="A163" s="701"/>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row>
    <row r="164" spans="1:30" ht="13.8" x14ac:dyDescent="0.25">
      <c r="A164" s="701"/>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row>
    <row r="165" spans="1:30" ht="13.8" x14ac:dyDescent="0.25">
      <c r="A165" s="701"/>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row>
    <row r="166" spans="1:30" ht="13.8" x14ac:dyDescent="0.25">
      <c r="A166" s="701"/>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row>
    <row r="167" spans="1:30" ht="13.8" x14ac:dyDescent="0.25">
      <c r="A167" s="701"/>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row>
    <row r="168" spans="1:30" ht="13.8" x14ac:dyDescent="0.25">
      <c r="A168" s="701"/>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row>
    <row r="169" spans="1:30" ht="13.8" x14ac:dyDescent="0.25">
      <c r="A169" s="701"/>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row>
    <row r="170" spans="1:30" ht="13.8" x14ac:dyDescent="0.25">
      <c r="A170" s="701"/>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row>
    <row r="171" spans="1:30" ht="13.8" x14ac:dyDescent="0.25">
      <c r="A171" s="701"/>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row>
    <row r="172" spans="1:30" ht="13.8" x14ac:dyDescent="0.25">
      <c r="A172" s="701"/>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row>
    <row r="173" spans="1:30" ht="13.8" x14ac:dyDescent="0.25">
      <c r="A173" s="701"/>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row>
    <row r="174" spans="1:30" ht="13.8" x14ac:dyDescent="0.25">
      <c r="A174" s="701"/>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row>
    <row r="175" spans="1:30" ht="13.8" x14ac:dyDescent="0.25">
      <c r="A175" s="701"/>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row>
    <row r="176" spans="1:30" ht="13.8" x14ac:dyDescent="0.25">
      <c r="A176" s="701"/>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row>
    <row r="177" spans="1:30" ht="13.8" x14ac:dyDescent="0.25">
      <c r="A177" s="701"/>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row>
    <row r="178" spans="1:30" ht="13.8" x14ac:dyDescent="0.25">
      <c r="A178" s="701"/>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row>
    <row r="179" spans="1:30" ht="13.8" x14ac:dyDescent="0.25">
      <c r="A179" s="701"/>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row>
    <row r="180" spans="1:30" ht="13.8" x14ac:dyDescent="0.25">
      <c r="A180" s="701"/>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row>
    <row r="181" spans="1:30" ht="13.8" x14ac:dyDescent="0.25">
      <c r="A181" s="701"/>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row>
    <row r="182" spans="1:30" ht="13.8" x14ac:dyDescent="0.25">
      <c r="A182" s="701"/>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row>
    <row r="183" spans="1:30" ht="13.8" x14ac:dyDescent="0.25">
      <c r="A183" s="701"/>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row>
    <row r="184" spans="1:30" ht="13.8" x14ac:dyDescent="0.25">
      <c r="A184" s="701"/>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row>
    <row r="185" spans="1:30" ht="13.8" x14ac:dyDescent="0.25">
      <c r="A185" s="701"/>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row>
    <row r="186" spans="1:30" ht="13.8" x14ac:dyDescent="0.25">
      <c r="A186" s="701"/>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row>
    <row r="187" spans="1:30" ht="13.8" x14ac:dyDescent="0.25">
      <c r="A187" s="701"/>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row>
    <row r="188" spans="1:30" ht="13.8" x14ac:dyDescent="0.25">
      <c r="A188" s="701"/>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row>
    <row r="189" spans="1:30" ht="13.8" x14ac:dyDescent="0.25">
      <c r="A189" s="701"/>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row>
  </sheetData>
  <conditionalFormatting sqref="B1">
    <cfRule type="cellIs" dxfId="38" priority="1" operator="equal">
      <formula>"Review Later"</formula>
    </cfRule>
    <cfRule type="cellIs" dxfId="37" priority="2" operator="equal">
      <formula>"Finished"</formula>
    </cfRule>
    <cfRule type="cellIs" dxfId="36" priority="3" operator="equal">
      <formula>"Incomplete"</formula>
    </cfRule>
  </conditionalFormatting>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C217"/>
  <sheetViews>
    <sheetView zoomScaleNormal="100" workbookViewId="0"/>
  </sheetViews>
  <sheetFormatPr defaultColWidth="0" defaultRowHeight="0" customHeight="1" zeroHeight="1" x14ac:dyDescent="0.25"/>
  <cols>
    <col min="1" max="1" width="11.6640625" style="702" customWidth="1"/>
    <col min="2" max="2" width="14.44140625" style="702" customWidth="1"/>
    <col min="3" max="3" width="17.6640625" style="702" bestFit="1" customWidth="1"/>
    <col min="4" max="4" width="18.88671875" style="702" bestFit="1" customWidth="1"/>
    <col min="5" max="5" width="21.6640625" style="702" customWidth="1"/>
    <col min="6" max="10" width="14.6640625" style="702" customWidth="1"/>
    <col min="11" max="52" width="10.6640625" style="702" customWidth="1"/>
    <col min="53" max="55" width="0" style="702" hidden="1" customWidth="1"/>
    <col min="56" max="16384" width="10.6640625" style="702" hidden="1"/>
  </cols>
  <sheetData>
    <row r="1" spans="1:52" ht="14.85" customHeight="1" thickBot="1" x14ac:dyDescent="0.3">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x14ac:dyDescent="0.25">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x14ac:dyDescent="0.25">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x14ac:dyDescent="0.25">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x14ac:dyDescent="0.3">
      <c r="A5" s="713"/>
      <c r="B5" s="714"/>
      <c r="C5" s="714"/>
      <c r="D5" s="714"/>
      <c r="E5" s="714"/>
      <c r="F5" s="714"/>
      <c r="G5" s="714"/>
      <c r="H5" s="714"/>
      <c r="I5" s="714"/>
      <c r="J5" s="715"/>
      <c r="K5" s="707"/>
      <c r="L5" s="707"/>
      <c r="M5" s="707"/>
      <c r="N5" s="707"/>
      <c r="O5" s="707"/>
      <c r="P5" s="707"/>
      <c r="Q5" s="707"/>
      <c r="R5" s="707"/>
      <c r="S5" s="707"/>
      <c r="T5" s="707"/>
      <c r="U5" s="707"/>
      <c r="V5" s="707"/>
      <c r="W5" s="707"/>
    </row>
    <row r="6" spans="1:52" ht="14.4" customHeight="1" x14ac:dyDescent="0.25">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x14ac:dyDescent="0.25">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x14ac:dyDescent="0.25">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x14ac:dyDescent="0.3">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x14ac:dyDescent="0.25">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x14ac:dyDescent="0.25">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x14ac:dyDescent="0.25">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x14ac:dyDescent="0.3">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x14ac:dyDescent="0.3">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x14ac:dyDescent="0.3">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x14ac:dyDescent="0.25">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x14ac:dyDescent="0.3">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x14ac:dyDescent="0.25">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x14ac:dyDescent="0.25">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x14ac:dyDescent="0.25">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x14ac:dyDescent="0.25">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x14ac:dyDescent="0.25">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x14ac:dyDescent="0.25">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x14ac:dyDescent="0.25">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x14ac:dyDescent="0.25">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x14ac:dyDescent="0.25">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x14ac:dyDescent="0.3">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x14ac:dyDescent="0.25">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x14ac:dyDescent="0.25">
      <c r="A29" s="707"/>
      <c r="B29" s="707" t="s">
        <v>0</v>
      </c>
      <c r="C29" s="707" t="s">
        <v>94</v>
      </c>
      <c r="D29" s="707" t="s">
        <v>898</v>
      </c>
      <c r="E29" s="707" t="s">
        <v>899</v>
      </c>
      <c r="F29" s="707" t="s">
        <v>900</v>
      </c>
      <c r="G29" s="707" t="s">
        <v>901</v>
      </c>
      <c r="H29" s="707" t="s">
        <v>902</v>
      </c>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x14ac:dyDescent="0.25">
      <c r="A30" s="707"/>
      <c r="B30" s="707"/>
      <c r="C30" s="707">
        <v>2014</v>
      </c>
      <c r="D30" s="761">
        <f>I17*H17</f>
        <v>1.03515</v>
      </c>
      <c r="E30" s="761">
        <f>I17</f>
        <v>1.0049999999999999</v>
      </c>
      <c r="F30" s="235">
        <f>((1/E30)-(1/D30))/(1-(1/D30))*(C10-D10)</f>
        <v>80.227596017070098</v>
      </c>
      <c r="G30" s="762">
        <f>E10-D10</f>
        <v>-38</v>
      </c>
      <c r="H30" s="762">
        <f>G30-F30</f>
        <v>-118.2275960170701</v>
      </c>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x14ac:dyDescent="0.25">
      <c r="A31" s="707"/>
      <c r="B31" s="707"/>
      <c r="C31" s="707">
        <v>2015</v>
      </c>
      <c r="D31" s="707">
        <f>D30*G17*F17</f>
        <v>1.30801554</v>
      </c>
      <c r="E31" s="707">
        <f>D30*G17</f>
        <v>1.1179620000000001</v>
      </c>
      <c r="F31" s="235">
        <f t="shared" ref="F31:F33" si="0">((1/E31)-(1/D31))/(1-(1/D31))*(C11-D11)</f>
        <v>541.43372116874355</v>
      </c>
      <c r="G31" s="762">
        <f>E11-D11</f>
        <v>548</v>
      </c>
      <c r="H31" s="762">
        <f t="shared" ref="H31:H33" si="1">G31-F31</f>
        <v>6.5662788312564544</v>
      </c>
      <c r="I31" s="707"/>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x14ac:dyDescent="0.25">
      <c r="A32" s="707"/>
      <c r="B32" s="707"/>
      <c r="C32" s="707">
        <v>2016</v>
      </c>
      <c r="D32" s="707">
        <f>D31*E17*D17</f>
        <v>2.4128962666379996</v>
      </c>
      <c r="E32" s="707">
        <f>D31*E17</f>
        <v>1.6873400465999999</v>
      </c>
      <c r="F32" s="235">
        <f t="shared" si="0"/>
        <v>860.36747969654925</v>
      </c>
      <c r="G32" s="762">
        <f>E12-D12</f>
        <v>882</v>
      </c>
      <c r="H32" s="762">
        <f t="shared" si="1"/>
        <v>21.632520303450747</v>
      </c>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4.85" customHeight="1" x14ac:dyDescent="0.25">
      <c r="A33" s="707"/>
      <c r="B33" s="707"/>
      <c r="C33" s="707">
        <v>2017</v>
      </c>
      <c r="D33" s="707">
        <f>D32*C17*B17</f>
        <v>7.354749110339287</v>
      </c>
      <c r="E33" s="707">
        <f>D32*C17</f>
        <v>3.9330209146199393</v>
      </c>
      <c r="F33" s="235">
        <f t="shared" si="0"/>
        <v>602.93174969978224</v>
      </c>
      <c r="G33" s="762">
        <f>E13-D13</f>
        <v>868</v>
      </c>
      <c r="H33" s="762">
        <f t="shared" si="1"/>
        <v>265.06825030021776</v>
      </c>
      <c r="I33" s="707"/>
      <c r="J33" s="707"/>
      <c r="K33" s="707"/>
      <c r="L33" s="707"/>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x14ac:dyDescent="0.25">
      <c r="A34" s="707"/>
      <c r="B34" s="707"/>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x14ac:dyDescent="0.25">
      <c r="A35" s="707"/>
      <c r="B35" s="707" t="s">
        <v>1</v>
      </c>
      <c r="C35" s="707" t="s">
        <v>903</v>
      </c>
      <c r="D35" s="707"/>
      <c r="E35" s="707"/>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x14ac:dyDescent="0.25">
      <c r="A36" s="707"/>
      <c r="B36" s="707"/>
      <c r="C36" s="707" t="s">
        <v>904</v>
      </c>
      <c r="D36" s="707"/>
      <c r="E36" s="707"/>
      <c r="F36" s="707"/>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x14ac:dyDescent="0.25">
      <c r="A37" s="707"/>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x14ac:dyDescent="0.25">
      <c r="A38" s="707"/>
      <c r="B38" s="707" t="s">
        <v>2</v>
      </c>
      <c r="C38" s="707" t="s">
        <v>905</v>
      </c>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x14ac:dyDescent="0.25">
      <c r="A39" s="707"/>
      <c r="B39" s="707"/>
      <c r="C39" s="707" t="s">
        <v>906</v>
      </c>
      <c r="D39" s="707"/>
      <c r="E39" s="707"/>
      <c r="F39" s="707"/>
      <c r="G39" s="707"/>
      <c r="H39" s="707"/>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x14ac:dyDescent="0.25">
      <c r="A40" s="707"/>
      <c r="B40" s="707"/>
      <c r="C40" s="707"/>
      <c r="D40" s="707"/>
      <c r="E40" s="707"/>
      <c r="F40" s="707"/>
      <c r="G40" s="707"/>
      <c r="H40" s="707"/>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x14ac:dyDescent="0.25">
      <c r="A41" s="707"/>
      <c r="B41" s="707"/>
      <c r="C41" s="707"/>
      <c r="D41" s="707"/>
      <c r="E41" s="707"/>
      <c r="F41" s="707"/>
      <c r="G41" s="707"/>
      <c r="H41" s="707"/>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x14ac:dyDescent="0.25">
      <c r="A42" s="707"/>
      <c r="B42" s="707"/>
      <c r="C42" s="707"/>
      <c r="D42" s="707"/>
      <c r="E42" s="707"/>
      <c r="F42" s="707"/>
      <c r="G42" s="707"/>
      <c r="H42" s="707"/>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x14ac:dyDescent="0.25">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x14ac:dyDescent="0.25">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x14ac:dyDescent="0.25">
      <c r="A45" s="707"/>
      <c r="B45" s="707"/>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x14ac:dyDescent="0.25">
      <c r="A46" s="707"/>
      <c r="B46" s="707"/>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x14ac:dyDescent="0.25">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x14ac:dyDescent="0.25">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x14ac:dyDescent="0.25">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x14ac:dyDescent="0.25">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x14ac:dyDescent="0.25">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x14ac:dyDescent="0.25">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x14ac:dyDescent="0.25">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x14ac:dyDescent="0.25">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x14ac:dyDescent="0.25">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x14ac:dyDescent="0.25">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x14ac:dyDescent="0.25">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x14ac:dyDescent="0.25">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x14ac:dyDescent="0.25">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x14ac:dyDescent="0.25">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x14ac:dyDescent="0.25">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x14ac:dyDescent="0.25">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x14ac:dyDescent="0.25">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x14ac:dyDescent="0.25">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x14ac:dyDescent="0.25">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x14ac:dyDescent="0.25">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x14ac:dyDescent="0.25">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x14ac:dyDescent="0.25">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x14ac:dyDescent="0.25">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x14ac:dyDescent="0.25">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x14ac:dyDescent="0.25">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x14ac:dyDescent="0.25">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x14ac:dyDescent="0.25">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x14ac:dyDescent="0.25">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x14ac:dyDescent="0.25">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x14ac:dyDescent="0.25">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x14ac:dyDescent="0.25">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x14ac:dyDescent="0.25">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x14ac:dyDescent="0.25">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x14ac:dyDescent="0.25">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x14ac:dyDescent="0.25">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x14ac:dyDescent="0.25">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x14ac:dyDescent="0.25">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x14ac:dyDescent="0.25">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x14ac:dyDescent="0.25">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x14ac:dyDescent="0.25">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x14ac:dyDescent="0.25">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x14ac:dyDescent="0.25">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x14ac:dyDescent="0.25">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x14ac:dyDescent="0.25">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x14ac:dyDescent="0.25">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x14ac:dyDescent="0.25">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x14ac:dyDescent="0.25">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x14ac:dyDescent="0.25">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x14ac:dyDescent="0.25">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x14ac:dyDescent="0.25">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x14ac:dyDescent="0.25">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x14ac:dyDescent="0.25">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x14ac:dyDescent="0.25">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x14ac:dyDescent="0.25">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x14ac:dyDescent="0.25">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x14ac:dyDescent="0.25">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x14ac:dyDescent="0.25">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x14ac:dyDescent="0.25">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x14ac:dyDescent="0.25">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x14ac:dyDescent="0.25">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x14ac:dyDescent="0.25">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x14ac:dyDescent="0.25">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x14ac:dyDescent="0.25">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x14ac:dyDescent="0.25">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x14ac:dyDescent="0.25">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x14ac:dyDescent="0.25">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x14ac:dyDescent="0.25">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x14ac:dyDescent="0.25">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x14ac:dyDescent="0.25">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x14ac:dyDescent="0.25">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x14ac:dyDescent="0.25">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x14ac:dyDescent="0.25">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x14ac:dyDescent="0.25">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x14ac:dyDescent="0.25">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x14ac:dyDescent="0.25">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x14ac:dyDescent="0.25">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x14ac:dyDescent="0.25">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x14ac:dyDescent="0.25">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x14ac:dyDescent="0.25">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x14ac:dyDescent="0.25">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x14ac:dyDescent="0.25">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x14ac:dyDescent="0.25">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x14ac:dyDescent="0.25">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x14ac:dyDescent="0.25">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x14ac:dyDescent="0.25">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x14ac:dyDescent="0.25">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x14ac:dyDescent="0.25">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x14ac:dyDescent="0.25">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x14ac:dyDescent="0.25">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x14ac:dyDescent="0.25">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x14ac:dyDescent="0.25">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x14ac:dyDescent="0.25">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x14ac:dyDescent="0.25">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x14ac:dyDescent="0.25">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x14ac:dyDescent="0.25">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x14ac:dyDescent="0.25">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x14ac:dyDescent="0.25">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x14ac:dyDescent="0.25">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x14ac:dyDescent="0.25">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x14ac:dyDescent="0.25">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x14ac:dyDescent="0.25">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x14ac:dyDescent="0.25">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x14ac:dyDescent="0.25">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x14ac:dyDescent="0.25">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x14ac:dyDescent="0.25">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x14ac:dyDescent="0.25">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x14ac:dyDescent="0.25">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x14ac:dyDescent="0.25">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x14ac:dyDescent="0.25">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x14ac:dyDescent="0.25">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x14ac:dyDescent="0.25">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x14ac:dyDescent="0.25">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x14ac:dyDescent="0.25">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x14ac:dyDescent="0.25">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x14ac:dyDescent="0.25">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x14ac:dyDescent="0.25">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x14ac:dyDescent="0.25">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x14ac:dyDescent="0.25">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x14ac:dyDescent="0.25">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x14ac:dyDescent="0.25">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x14ac:dyDescent="0.25">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x14ac:dyDescent="0.25">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x14ac:dyDescent="0.25">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x14ac:dyDescent="0.25">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x14ac:dyDescent="0.25">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x14ac:dyDescent="0.25">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x14ac:dyDescent="0.25">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x14ac:dyDescent="0.25">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x14ac:dyDescent="0.25">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x14ac:dyDescent="0.25">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x14ac:dyDescent="0.25">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x14ac:dyDescent="0.25">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x14ac:dyDescent="0.25">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x14ac:dyDescent="0.25">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x14ac:dyDescent="0.25">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x14ac:dyDescent="0.25">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x14ac:dyDescent="0.25">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x14ac:dyDescent="0.25">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x14ac:dyDescent="0.25">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x14ac:dyDescent="0.25">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x14ac:dyDescent="0.25">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x14ac:dyDescent="0.25">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x14ac:dyDescent="0.25">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x14ac:dyDescent="0.25">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x14ac:dyDescent="0.25">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x14ac:dyDescent="0.25">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x14ac:dyDescent="0.25">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x14ac:dyDescent="0.25">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x14ac:dyDescent="0.25">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x14ac:dyDescent="0.25">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x14ac:dyDescent="0.25">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x14ac:dyDescent="0.25">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x14ac:dyDescent="0.25">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x14ac:dyDescent="0.25">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x14ac:dyDescent="0.25"/>
    <row r="202" spans="1:52" ht="14.85" hidden="1" customHeight="1" x14ac:dyDescent="0.25"/>
    <row r="203" spans="1:52" ht="14.85" hidden="1" customHeight="1" x14ac:dyDescent="0.25"/>
    <row r="204" spans="1:52" s="703" customFormat="1" ht="14.85" hidden="1" customHeight="1" x14ac:dyDescent="0.25">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x14ac:dyDescent="0.25">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x14ac:dyDescent="0.25">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x14ac:dyDescent="0.25">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x14ac:dyDescent="0.25">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x14ac:dyDescent="0.25">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x14ac:dyDescent="0.25">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x14ac:dyDescent="0.25">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x14ac:dyDescent="0.25">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x14ac:dyDescent="0.25"/>
    <row r="214" spans="1:52" ht="0" hidden="1" customHeight="1" x14ac:dyDescent="0.25"/>
    <row r="215" spans="1:52" ht="0" hidden="1" customHeight="1" x14ac:dyDescent="0.25"/>
    <row r="216" spans="1:52" ht="0" hidden="1" customHeight="1" x14ac:dyDescent="0.25"/>
    <row r="217" spans="1:52" ht="0" hidden="1" customHeight="1" x14ac:dyDescent="0.25"/>
  </sheetData>
  <conditionalFormatting sqref="B1">
    <cfRule type="cellIs" dxfId="35" priority="1" operator="equal">
      <formula>"Review Later"</formula>
    </cfRule>
    <cfRule type="cellIs" dxfId="34" priority="2" operator="equal">
      <formula>"Finished"</formula>
    </cfRule>
    <cfRule type="cellIs" dxfId="33" priority="3" operator="equal">
      <formula>"Incomplete"</formula>
    </cfRule>
  </conditionalFormatting>
  <pageMargins left="0.7" right="0.7" top="0.75" bottom="0.75" header="0.51180555555555496" footer="0.51180555555555496"/>
  <pageSetup firstPageNumber="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C217"/>
  <sheetViews>
    <sheetView zoomScaleNormal="100" zoomScalePageLayoutView="80" workbookViewId="0"/>
  </sheetViews>
  <sheetFormatPr defaultColWidth="0" defaultRowHeight="0" customHeight="1" zeroHeight="1" x14ac:dyDescent="0.25"/>
  <cols>
    <col min="1" max="1" width="11.6640625" style="702" customWidth="1"/>
    <col min="2" max="2" width="14.44140625" style="702" customWidth="1"/>
    <col min="3" max="3" width="17.6640625" style="702" bestFit="1" customWidth="1"/>
    <col min="4" max="4" width="18.88671875" style="702" bestFit="1" customWidth="1"/>
    <col min="5" max="5" width="21.6640625" style="702" customWidth="1"/>
    <col min="6" max="10" width="14.6640625" style="702" customWidth="1"/>
    <col min="11" max="52" width="10.6640625" style="702" customWidth="1"/>
    <col min="53" max="55" width="0" style="702" hidden="1" customWidth="1"/>
    <col min="56" max="16384" width="10.6640625" style="702" hidden="1"/>
  </cols>
  <sheetData>
    <row r="1" spans="1:52" ht="14.85" customHeight="1" thickBot="1" x14ac:dyDescent="0.3">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x14ac:dyDescent="0.25">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x14ac:dyDescent="0.25">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x14ac:dyDescent="0.25">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x14ac:dyDescent="0.3">
      <c r="A5" s="713"/>
      <c r="B5" s="714"/>
      <c r="C5" s="714"/>
      <c r="D5" s="714"/>
      <c r="E5" s="714"/>
      <c r="F5" s="714"/>
      <c r="G5" s="714"/>
      <c r="H5" s="714"/>
      <c r="I5" s="714"/>
      <c r="J5" s="715"/>
      <c r="K5" s="707"/>
      <c r="L5" s="707"/>
      <c r="M5" s="707"/>
      <c r="N5" s="707"/>
      <c r="O5" s="707"/>
      <c r="P5" s="707"/>
      <c r="Q5" s="707"/>
      <c r="R5" s="707"/>
      <c r="S5" s="707"/>
      <c r="T5" s="707"/>
      <c r="U5" s="707"/>
      <c r="V5" s="707"/>
      <c r="W5" s="707"/>
    </row>
    <row r="6" spans="1:52" ht="14.4" customHeight="1" x14ac:dyDescent="0.25">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x14ac:dyDescent="0.25">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x14ac:dyDescent="0.25">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x14ac:dyDescent="0.3">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x14ac:dyDescent="0.25">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x14ac:dyDescent="0.25">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x14ac:dyDescent="0.25">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x14ac:dyDescent="0.3">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x14ac:dyDescent="0.3">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x14ac:dyDescent="0.3">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x14ac:dyDescent="0.25">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x14ac:dyDescent="0.3">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x14ac:dyDescent="0.25">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x14ac:dyDescent="0.25">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x14ac:dyDescent="0.25">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x14ac:dyDescent="0.25">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x14ac:dyDescent="0.25">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x14ac:dyDescent="0.25">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x14ac:dyDescent="0.25">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x14ac:dyDescent="0.25">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x14ac:dyDescent="0.25">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x14ac:dyDescent="0.3">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thickBot="1" x14ac:dyDescent="0.3">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thickBot="1" x14ac:dyDescent="0.3">
      <c r="A29" s="707" t="s">
        <v>907</v>
      </c>
      <c r="B29" s="744" t="s">
        <v>886</v>
      </c>
      <c r="C29" s="745"/>
      <c r="D29" s="745"/>
      <c r="E29" s="745"/>
      <c r="F29" s="745"/>
      <c r="G29" s="745"/>
      <c r="H29" s="745"/>
      <c r="I29" s="746"/>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x14ac:dyDescent="0.25">
      <c r="A30" s="707"/>
      <c r="B30" s="747" t="s">
        <v>887</v>
      </c>
      <c r="C30" s="748" t="s">
        <v>888</v>
      </c>
      <c r="D30" s="748" t="s">
        <v>889</v>
      </c>
      <c r="E30" s="748" t="s">
        <v>890</v>
      </c>
      <c r="F30" s="748" t="s">
        <v>891</v>
      </c>
      <c r="G30" s="748" t="s">
        <v>892</v>
      </c>
      <c r="H30" s="748" t="s">
        <v>893</v>
      </c>
      <c r="I30" s="749" t="s">
        <v>894</v>
      </c>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thickBot="1" x14ac:dyDescent="0.3">
      <c r="A31" s="707"/>
      <c r="B31" s="750">
        <v>1.87</v>
      </c>
      <c r="C31" s="751">
        <v>1.63</v>
      </c>
      <c r="D31" s="751">
        <v>1.43</v>
      </c>
      <c r="E31" s="751">
        <v>1.29</v>
      </c>
      <c r="F31" s="751">
        <v>1.17</v>
      </c>
      <c r="G31" s="751">
        <v>1.08</v>
      </c>
      <c r="H31" s="751">
        <v>1.03</v>
      </c>
      <c r="I31" s="752">
        <v>1.0049999999999999</v>
      </c>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x14ac:dyDescent="0.25">
      <c r="A32" s="707"/>
      <c r="B32" s="707"/>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3.8" x14ac:dyDescent="0.25">
      <c r="A33" s="707" t="s">
        <v>155</v>
      </c>
      <c r="B33" s="707">
        <f>PRODUCT(B31:I31)</f>
        <v>7.354749110339287</v>
      </c>
      <c r="C33" s="707">
        <f t="shared" ref="C33:I33" si="0">PRODUCT(C31:J31)</f>
        <v>3.9330209146199397</v>
      </c>
      <c r="D33" s="707">
        <f t="shared" si="0"/>
        <v>2.4128962666380001</v>
      </c>
      <c r="E33" s="707">
        <f t="shared" si="0"/>
        <v>1.6873400465999999</v>
      </c>
      <c r="F33" s="707">
        <f t="shared" si="0"/>
        <v>1.30801554</v>
      </c>
      <c r="G33" s="707">
        <f t="shared" si="0"/>
        <v>1.1179619999999999</v>
      </c>
      <c r="H33" s="707">
        <f t="shared" si="0"/>
        <v>1.03515</v>
      </c>
      <c r="I33" s="707">
        <f t="shared" si="0"/>
        <v>1.0049999999999999</v>
      </c>
      <c r="J33" s="707"/>
      <c r="K33" s="707"/>
      <c r="L33" s="707"/>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thickBot="1" x14ac:dyDescent="0.3">
      <c r="A34" s="707"/>
      <c r="B34" s="707"/>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x14ac:dyDescent="0.25">
      <c r="A35" s="707"/>
      <c r="B35" s="716"/>
      <c r="C35" s="717" t="s">
        <v>216</v>
      </c>
      <c r="D35" s="718"/>
      <c r="E35" s="719"/>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x14ac:dyDescent="0.25">
      <c r="A36" s="707"/>
      <c r="B36" s="720"/>
      <c r="C36" s="721" t="s">
        <v>883</v>
      </c>
      <c r="D36" s="721" t="s">
        <v>884</v>
      </c>
      <c r="E36" s="722" t="s">
        <v>884</v>
      </c>
      <c r="F36" s="707"/>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x14ac:dyDescent="0.25">
      <c r="A37" s="707"/>
      <c r="B37" s="724" t="s">
        <v>117</v>
      </c>
      <c r="C37" s="721" t="s">
        <v>885</v>
      </c>
      <c r="D37" s="721" t="s">
        <v>885</v>
      </c>
      <c r="E37" s="725" t="s">
        <v>885</v>
      </c>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thickBot="1" x14ac:dyDescent="0.3">
      <c r="A38" s="707"/>
      <c r="B38" s="727" t="s">
        <v>94</v>
      </c>
      <c r="C38" s="728">
        <v>42916</v>
      </c>
      <c r="D38" s="728">
        <v>42916</v>
      </c>
      <c r="E38" s="729">
        <v>43100</v>
      </c>
      <c r="F38" s="763" t="s">
        <v>908</v>
      </c>
      <c r="G38" s="763" t="s">
        <v>909</v>
      </c>
      <c r="H38" s="763" t="s">
        <v>910</v>
      </c>
      <c r="I38" s="763" t="s">
        <v>911</v>
      </c>
      <c r="J38" s="763" t="s">
        <v>912</v>
      </c>
      <c r="K38" s="763" t="s">
        <v>913</v>
      </c>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x14ac:dyDescent="0.25">
      <c r="A39" s="707"/>
      <c r="B39" s="732">
        <v>2014</v>
      </c>
      <c r="C39" s="733">
        <v>3220</v>
      </c>
      <c r="D39" s="734">
        <v>3126</v>
      </c>
      <c r="E39" s="735">
        <v>3088</v>
      </c>
      <c r="F39" s="556">
        <f>1/H33</f>
        <v>0.96604356856494222</v>
      </c>
      <c r="G39" s="762">
        <f>C39-D39</f>
        <v>94</v>
      </c>
      <c r="H39" s="556">
        <f>1/I33</f>
        <v>0.99502487562189068</v>
      </c>
      <c r="I39" s="707">
        <f>G39*(H39-F39)/(1-F39)</f>
        <v>80.227596017070098</v>
      </c>
      <c r="J39" s="762">
        <f>I39+D39</f>
        <v>3206.22759601707</v>
      </c>
      <c r="K39" s="764">
        <f>E39-J39</f>
        <v>-118.22759601707003</v>
      </c>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x14ac:dyDescent="0.25">
      <c r="A40" s="707"/>
      <c r="B40" s="736">
        <v>2015</v>
      </c>
      <c r="C40" s="737">
        <v>4229</v>
      </c>
      <c r="D40" s="738">
        <v>3248</v>
      </c>
      <c r="E40" s="739">
        <v>3796</v>
      </c>
      <c r="F40" s="556">
        <f>1/F33</f>
        <v>0.76451691086177764</v>
      </c>
      <c r="G40" s="762">
        <f t="shared" ref="G40:G42" si="1">C40-D40</f>
        <v>981</v>
      </c>
      <c r="H40" s="556">
        <f>1/G33</f>
        <v>0.89448478570827994</v>
      </c>
      <c r="I40" s="707">
        <f t="shared" ref="I40:I42" si="2">G40*(H40-F40)/(1-F40)</f>
        <v>541.43372116874389</v>
      </c>
      <c r="J40" s="762">
        <f t="shared" ref="J40:J42" si="3">I40+D40</f>
        <v>3789.4337211687439</v>
      </c>
      <c r="K40" s="764">
        <f t="shared" ref="K40:K42" si="4">E40-J40</f>
        <v>6.5662788312561133</v>
      </c>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x14ac:dyDescent="0.25">
      <c r="A41" s="707"/>
      <c r="B41" s="736">
        <v>2016</v>
      </c>
      <c r="C41" s="737">
        <v>4845</v>
      </c>
      <c r="D41" s="738">
        <v>2018</v>
      </c>
      <c r="E41" s="739">
        <v>2900</v>
      </c>
      <c r="F41" s="556">
        <f>1/D33</f>
        <v>0.41443969797895464</v>
      </c>
      <c r="G41" s="762">
        <f t="shared" si="1"/>
        <v>2827</v>
      </c>
      <c r="H41" s="556">
        <f>1/E33</f>
        <v>0.59264876810990519</v>
      </c>
      <c r="I41" s="707">
        <f t="shared" si="2"/>
        <v>860.36747969654959</v>
      </c>
      <c r="J41" s="762">
        <f t="shared" si="3"/>
        <v>2878.3674796965497</v>
      </c>
      <c r="K41" s="764">
        <f t="shared" si="4"/>
        <v>21.632520303450292</v>
      </c>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thickBot="1" x14ac:dyDescent="0.3">
      <c r="A42" s="707"/>
      <c r="B42" s="740">
        <v>2017</v>
      </c>
      <c r="C42" s="741">
        <v>5101</v>
      </c>
      <c r="D42" s="742">
        <v>697</v>
      </c>
      <c r="E42" s="743">
        <v>1565</v>
      </c>
      <c r="F42" s="556">
        <f>1/B33</f>
        <v>0.13596656867522547</v>
      </c>
      <c r="G42" s="762">
        <f t="shared" si="1"/>
        <v>4404</v>
      </c>
      <c r="H42" s="556">
        <f>1/C33</f>
        <v>0.25425748342267157</v>
      </c>
      <c r="I42" s="707">
        <f t="shared" si="2"/>
        <v>602.93174969978202</v>
      </c>
      <c r="J42" s="762">
        <f t="shared" si="3"/>
        <v>1299.9317496997819</v>
      </c>
      <c r="K42" s="764">
        <f t="shared" si="4"/>
        <v>265.0682503002181</v>
      </c>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x14ac:dyDescent="0.25">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x14ac:dyDescent="0.25">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x14ac:dyDescent="0.25">
      <c r="A45" s="707"/>
      <c r="B45" s="707" t="s">
        <v>914</v>
      </c>
      <c r="C45" s="707" t="s">
        <v>915</v>
      </c>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x14ac:dyDescent="0.25">
      <c r="A46" s="707"/>
      <c r="B46" s="707"/>
      <c r="C46" s="707" t="s">
        <v>916</v>
      </c>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x14ac:dyDescent="0.25">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x14ac:dyDescent="0.25">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x14ac:dyDescent="0.25">
      <c r="A49" s="707"/>
      <c r="B49" s="707" t="s">
        <v>917</v>
      </c>
      <c r="C49" s="707" t="s">
        <v>918</v>
      </c>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x14ac:dyDescent="0.25">
      <c r="A50" s="707"/>
      <c r="B50" s="707"/>
      <c r="C50" s="707" t="s">
        <v>919</v>
      </c>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x14ac:dyDescent="0.25">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x14ac:dyDescent="0.25">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x14ac:dyDescent="0.25">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x14ac:dyDescent="0.25">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x14ac:dyDescent="0.25">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x14ac:dyDescent="0.25">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x14ac:dyDescent="0.25">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x14ac:dyDescent="0.25">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x14ac:dyDescent="0.25">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x14ac:dyDescent="0.25">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x14ac:dyDescent="0.25">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x14ac:dyDescent="0.25">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x14ac:dyDescent="0.25">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x14ac:dyDescent="0.25">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x14ac:dyDescent="0.25">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x14ac:dyDescent="0.25">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x14ac:dyDescent="0.25">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x14ac:dyDescent="0.25">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x14ac:dyDescent="0.25">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x14ac:dyDescent="0.25">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x14ac:dyDescent="0.25">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x14ac:dyDescent="0.25">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x14ac:dyDescent="0.25">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x14ac:dyDescent="0.25">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x14ac:dyDescent="0.25">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x14ac:dyDescent="0.25">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x14ac:dyDescent="0.25">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x14ac:dyDescent="0.25">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x14ac:dyDescent="0.25">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x14ac:dyDescent="0.25">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x14ac:dyDescent="0.25">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x14ac:dyDescent="0.25">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x14ac:dyDescent="0.25">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x14ac:dyDescent="0.25">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x14ac:dyDescent="0.25">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x14ac:dyDescent="0.25">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x14ac:dyDescent="0.25">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x14ac:dyDescent="0.25">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x14ac:dyDescent="0.25">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x14ac:dyDescent="0.25">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x14ac:dyDescent="0.25">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x14ac:dyDescent="0.25">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x14ac:dyDescent="0.25">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x14ac:dyDescent="0.25">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x14ac:dyDescent="0.25">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x14ac:dyDescent="0.25">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x14ac:dyDescent="0.25">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x14ac:dyDescent="0.25">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x14ac:dyDescent="0.25">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x14ac:dyDescent="0.25">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x14ac:dyDescent="0.25">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x14ac:dyDescent="0.25">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x14ac:dyDescent="0.25">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x14ac:dyDescent="0.25">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x14ac:dyDescent="0.25">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x14ac:dyDescent="0.25">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x14ac:dyDescent="0.25">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x14ac:dyDescent="0.25">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x14ac:dyDescent="0.25">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x14ac:dyDescent="0.25">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x14ac:dyDescent="0.25">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x14ac:dyDescent="0.25">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x14ac:dyDescent="0.25">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x14ac:dyDescent="0.25">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x14ac:dyDescent="0.25">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x14ac:dyDescent="0.25">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x14ac:dyDescent="0.25">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x14ac:dyDescent="0.25">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x14ac:dyDescent="0.25">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x14ac:dyDescent="0.25">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x14ac:dyDescent="0.25">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x14ac:dyDescent="0.25">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x14ac:dyDescent="0.25">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x14ac:dyDescent="0.25">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x14ac:dyDescent="0.25">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x14ac:dyDescent="0.25">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x14ac:dyDescent="0.25">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x14ac:dyDescent="0.25">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x14ac:dyDescent="0.25">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x14ac:dyDescent="0.25">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x14ac:dyDescent="0.25">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x14ac:dyDescent="0.25">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x14ac:dyDescent="0.25">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x14ac:dyDescent="0.25">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x14ac:dyDescent="0.25">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x14ac:dyDescent="0.25">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x14ac:dyDescent="0.25">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x14ac:dyDescent="0.25">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x14ac:dyDescent="0.25">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x14ac:dyDescent="0.25">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x14ac:dyDescent="0.25">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x14ac:dyDescent="0.25">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x14ac:dyDescent="0.25">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x14ac:dyDescent="0.25">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x14ac:dyDescent="0.25">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x14ac:dyDescent="0.25">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x14ac:dyDescent="0.25">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x14ac:dyDescent="0.25">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x14ac:dyDescent="0.25">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x14ac:dyDescent="0.25">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x14ac:dyDescent="0.25">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x14ac:dyDescent="0.25">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x14ac:dyDescent="0.25">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x14ac:dyDescent="0.25">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x14ac:dyDescent="0.25">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x14ac:dyDescent="0.25">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x14ac:dyDescent="0.25">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x14ac:dyDescent="0.25">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x14ac:dyDescent="0.25">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x14ac:dyDescent="0.25">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x14ac:dyDescent="0.25">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x14ac:dyDescent="0.25">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x14ac:dyDescent="0.25">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x14ac:dyDescent="0.25">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x14ac:dyDescent="0.25">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x14ac:dyDescent="0.25">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x14ac:dyDescent="0.25">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x14ac:dyDescent="0.25">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x14ac:dyDescent="0.25">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x14ac:dyDescent="0.25">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x14ac:dyDescent="0.25">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x14ac:dyDescent="0.25">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x14ac:dyDescent="0.25">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x14ac:dyDescent="0.25">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x14ac:dyDescent="0.25">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x14ac:dyDescent="0.25">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x14ac:dyDescent="0.25">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x14ac:dyDescent="0.25">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x14ac:dyDescent="0.25">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x14ac:dyDescent="0.25">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x14ac:dyDescent="0.25">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x14ac:dyDescent="0.25">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x14ac:dyDescent="0.25">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x14ac:dyDescent="0.25">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x14ac:dyDescent="0.25">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x14ac:dyDescent="0.25">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x14ac:dyDescent="0.25">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x14ac:dyDescent="0.25">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x14ac:dyDescent="0.25">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x14ac:dyDescent="0.25">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x14ac:dyDescent="0.25">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x14ac:dyDescent="0.25">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x14ac:dyDescent="0.25">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x14ac:dyDescent="0.25">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x14ac:dyDescent="0.25">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x14ac:dyDescent="0.25">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x14ac:dyDescent="0.25">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x14ac:dyDescent="0.25">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x14ac:dyDescent="0.25">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x14ac:dyDescent="0.25">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x14ac:dyDescent="0.25"/>
    <row r="202" spans="1:52" ht="14.85" hidden="1" customHeight="1" x14ac:dyDescent="0.25"/>
    <row r="203" spans="1:52" ht="14.85" hidden="1" customHeight="1" x14ac:dyDescent="0.25"/>
    <row r="204" spans="1:52" s="703" customFormat="1" ht="14.85" hidden="1" customHeight="1" x14ac:dyDescent="0.25">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x14ac:dyDescent="0.25">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x14ac:dyDescent="0.25">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x14ac:dyDescent="0.25">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x14ac:dyDescent="0.25">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x14ac:dyDescent="0.25">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x14ac:dyDescent="0.25">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x14ac:dyDescent="0.25">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x14ac:dyDescent="0.25">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x14ac:dyDescent="0.25"/>
    <row r="214" spans="1:52" ht="0" hidden="1" customHeight="1" x14ac:dyDescent="0.25"/>
    <row r="215" spans="1:52" ht="0" hidden="1" customHeight="1" x14ac:dyDescent="0.25"/>
    <row r="216" spans="1:52" ht="0" hidden="1" customHeight="1" x14ac:dyDescent="0.25"/>
    <row r="217" spans="1:52" ht="0" hidden="1" customHeight="1" x14ac:dyDescent="0.25"/>
  </sheetData>
  <conditionalFormatting sqref="B1">
    <cfRule type="cellIs" dxfId="32" priority="1" operator="equal">
      <formula>"Review Later"</formula>
    </cfRule>
    <cfRule type="cellIs" dxfId="31" priority="2" operator="equal">
      <formula>"Finished"</formula>
    </cfRule>
    <cfRule type="cellIs" dxfId="30" priority="3" operator="equal">
      <formula>"Incomplete"</formula>
    </cfRule>
  </conditionalFormatting>
  <pageMargins left="0.7" right="0.7" top="0.75" bottom="0.75" header="0.51180555555555496" footer="0.51180555555555496"/>
  <pageSetup firstPageNumber="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C217"/>
  <sheetViews>
    <sheetView zoomScaleNormal="100" zoomScalePageLayoutView="70" workbookViewId="0"/>
  </sheetViews>
  <sheetFormatPr defaultColWidth="0" defaultRowHeight="0" customHeight="1" zeroHeight="1" x14ac:dyDescent="0.25"/>
  <cols>
    <col min="1" max="1" width="11.6640625" style="702" customWidth="1"/>
    <col min="2" max="2" width="14.44140625" style="702" customWidth="1"/>
    <col min="3" max="3" width="17.6640625" style="702" bestFit="1" customWidth="1"/>
    <col min="4" max="4" width="18.88671875" style="702" bestFit="1" customWidth="1"/>
    <col min="5" max="5" width="21.6640625" style="702" customWidth="1"/>
    <col min="6" max="10" width="14.6640625" style="702" customWidth="1"/>
    <col min="11" max="52" width="10.6640625" style="702" customWidth="1"/>
    <col min="53" max="55" width="0" style="702" hidden="1" customWidth="1"/>
    <col min="56" max="16384" width="10.6640625" style="702" hidden="1"/>
  </cols>
  <sheetData>
    <row r="1" spans="1:52" ht="14.85" customHeight="1" thickBot="1" x14ac:dyDescent="0.3">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x14ac:dyDescent="0.25">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x14ac:dyDescent="0.25">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x14ac:dyDescent="0.25">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x14ac:dyDescent="0.3">
      <c r="A5" s="713"/>
      <c r="B5" s="714"/>
      <c r="C5" s="714"/>
      <c r="D5" s="714"/>
      <c r="E5" s="714"/>
      <c r="F5" s="714"/>
      <c r="G5" s="714"/>
      <c r="H5" s="714"/>
      <c r="I5" s="714"/>
      <c r="J5" s="715"/>
      <c r="K5" s="707"/>
      <c r="L5" s="707"/>
      <c r="M5" s="707"/>
      <c r="N5" s="707"/>
      <c r="O5" s="707"/>
      <c r="P5" s="707"/>
      <c r="Q5" s="707"/>
      <c r="R5" s="707"/>
      <c r="S5" s="707"/>
      <c r="T5" s="707"/>
      <c r="U5" s="707"/>
      <c r="V5" s="707"/>
      <c r="W5" s="707"/>
    </row>
    <row r="6" spans="1:52" ht="14.4" customHeight="1" x14ac:dyDescent="0.25">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x14ac:dyDescent="0.25">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x14ac:dyDescent="0.25">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x14ac:dyDescent="0.3">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x14ac:dyDescent="0.25">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x14ac:dyDescent="0.25">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x14ac:dyDescent="0.25">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x14ac:dyDescent="0.3">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x14ac:dyDescent="0.3">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x14ac:dyDescent="0.3">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x14ac:dyDescent="0.25">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x14ac:dyDescent="0.3">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x14ac:dyDescent="0.25">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x14ac:dyDescent="0.25">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x14ac:dyDescent="0.25">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x14ac:dyDescent="0.25">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x14ac:dyDescent="0.25">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x14ac:dyDescent="0.25">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x14ac:dyDescent="0.25">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x14ac:dyDescent="0.25">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x14ac:dyDescent="0.25">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x14ac:dyDescent="0.3">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thickBot="1" x14ac:dyDescent="0.3">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x14ac:dyDescent="0.25">
      <c r="A29" s="707"/>
      <c r="B29" s="716"/>
      <c r="C29" s="717" t="s">
        <v>216</v>
      </c>
      <c r="D29" s="718"/>
      <c r="E29" s="719"/>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x14ac:dyDescent="0.25">
      <c r="A30" s="707"/>
      <c r="B30" s="720"/>
      <c r="C30" s="721" t="s">
        <v>883</v>
      </c>
      <c r="D30" s="721" t="s">
        <v>884</v>
      </c>
      <c r="E30" s="722" t="s">
        <v>884</v>
      </c>
      <c r="F30" s="707"/>
      <c r="G30" s="707"/>
      <c r="H30" s="707"/>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x14ac:dyDescent="0.25">
      <c r="A31" s="707"/>
      <c r="B31" s="724" t="s">
        <v>117</v>
      </c>
      <c r="C31" s="721" t="s">
        <v>885</v>
      </c>
      <c r="D31" s="721" t="s">
        <v>885</v>
      </c>
      <c r="E31" s="725" t="s">
        <v>885</v>
      </c>
      <c r="F31" s="707"/>
      <c r="G31" s="707"/>
      <c r="H31" s="707"/>
      <c r="I31" s="707"/>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thickBot="1" x14ac:dyDescent="0.3">
      <c r="A32" s="707"/>
      <c r="B32" s="727" t="s">
        <v>94</v>
      </c>
      <c r="C32" s="728">
        <v>42916</v>
      </c>
      <c r="D32" s="728">
        <v>42916</v>
      </c>
      <c r="E32" s="729">
        <v>43100</v>
      </c>
      <c r="F32" s="707" t="s">
        <v>920</v>
      </c>
      <c r="G32" s="707" t="s">
        <v>155</v>
      </c>
      <c r="H32" s="707" t="s">
        <v>218</v>
      </c>
      <c r="I32" s="707"/>
      <c r="J32" s="707" t="s">
        <v>921</v>
      </c>
      <c r="K32" s="707" t="s">
        <v>901</v>
      </c>
      <c r="L32" s="707" t="s">
        <v>922</v>
      </c>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4.85" customHeight="1" x14ac:dyDescent="0.25">
      <c r="A33" s="707"/>
      <c r="B33" s="732">
        <v>2014</v>
      </c>
      <c r="C33" s="733">
        <v>3220</v>
      </c>
      <c r="D33" s="734">
        <v>3126</v>
      </c>
      <c r="E33" s="735">
        <v>3088</v>
      </c>
      <c r="F33" s="707">
        <f>F34+12</f>
        <v>48</v>
      </c>
      <c r="G33" s="761">
        <f>I17</f>
        <v>1.0049999999999999</v>
      </c>
      <c r="H33" s="556">
        <f>1/G33</f>
        <v>0.99502487562189068</v>
      </c>
      <c r="I33" s="707"/>
      <c r="J33" s="762">
        <f t="shared" ref="J33:J35" si="0">(C33-D33)/(1-H39)*(H33-H39)</f>
        <v>80.227596017070098</v>
      </c>
      <c r="K33" s="762">
        <f>E33-D33</f>
        <v>-38</v>
      </c>
      <c r="L33" s="762">
        <f>J33-K33</f>
        <v>118.2275960170701</v>
      </c>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x14ac:dyDescent="0.25">
      <c r="A34" s="707"/>
      <c r="B34" s="736">
        <v>2015</v>
      </c>
      <c r="C34" s="737">
        <v>4229</v>
      </c>
      <c r="D34" s="738">
        <v>3248</v>
      </c>
      <c r="E34" s="739">
        <v>3796</v>
      </c>
      <c r="F34" s="707">
        <f>F35+12</f>
        <v>36</v>
      </c>
      <c r="G34" s="761">
        <f>PRODUCT(G17:I17)</f>
        <v>1.1179619999999999</v>
      </c>
      <c r="H34" s="556">
        <f t="shared" ref="H34:H36" si="1">1/G34</f>
        <v>0.89448478570827994</v>
      </c>
      <c r="I34" s="707"/>
      <c r="J34" s="762">
        <f t="shared" si="0"/>
        <v>541.43372116874389</v>
      </c>
      <c r="K34" s="762">
        <f t="shared" ref="K34:K36" si="2">E34-D34</f>
        <v>548</v>
      </c>
      <c r="L34" s="762">
        <f t="shared" ref="L34:L36" si="3">J34-K34</f>
        <v>-6.5662788312561133</v>
      </c>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x14ac:dyDescent="0.25">
      <c r="A35" s="707"/>
      <c r="B35" s="736">
        <v>2016</v>
      </c>
      <c r="C35" s="737">
        <v>4845</v>
      </c>
      <c r="D35" s="738">
        <v>2018</v>
      </c>
      <c r="E35" s="739">
        <v>2900</v>
      </c>
      <c r="F35" s="707">
        <f>F36+12</f>
        <v>24</v>
      </c>
      <c r="G35" s="761">
        <f>PRODUCT(E17:I17)</f>
        <v>1.6873400465999999</v>
      </c>
      <c r="H35" s="556">
        <f t="shared" si="1"/>
        <v>0.59264876810990519</v>
      </c>
      <c r="I35" s="707"/>
      <c r="J35" s="762">
        <f t="shared" si="0"/>
        <v>860.36747969654959</v>
      </c>
      <c r="K35" s="762">
        <f t="shared" si="2"/>
        <v>882</v>
      </c>
      <c r="L35" s="762">
        <f t="shared" si="3"/>
        <v>-21.632520303450406</v>
      </c>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thickBot="1" x14ac:dyDescent="0.3">
      <c r="A36" s="707"/>
      <c r="B36" s="740">
        <v>2017</v>
      </c>
      <c r="C36" s="741">
        <v>5101</v>
      </c>
      <c r="D36" s="742">
        <v>697</v>
      </c>
      <c r="E36" s="743">
        <v>1565</v>
      </c>
      <c r="F36" s="707">
        <v>12</v>
      </c>
      <c r="G36" s="761">
        <f>PRODUCT(C17:I17)</f>
        <v>3.9330209146199397</v>
      </c>
      <c r="H36" s="556">
        <f t="shared" si="1"/>
        <v>0.25425748342267157</v>
      </c>
      <c r="I36" s="707"/>
      <c r="J36" s="762">
        <f>(C36-D36)/(1-H42)*(H36-H42)</f>
        <v>602.9317496997819</v>
      </c>
      <c r="K36" s="762">
        <f t="shared" si="2"/>
        <v>868</v>
      </c>
      <c r="L36" s="762">
        <f t="shared" si="3"/>
        <v>-265.0682503002181</v>
      </c>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x14ac:dyDescent="0.25">
      <c r="A37" s="707"/>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x14ac:dyDescent="0.25">
      <c r="A38" s="707"/>
      <c r="B38" s="707"/>
      <c r="C38" s="707"/>
      <c r="D38" s="707"/>
      <c r="E38" s="707"/>
      <c r="F38" s="707" t="s">
        <v>920</v>
      </c>
      <c r="G38" s="707" t="s">
        <v>155</v>
      </c>
      <c r="H38" s="707" t="s">
        <v>218</v>
      </c>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x14ac:dyDescent="0.25">
      <c r="A39" s="707"/>
      <c r="B39" s="707"/>
      <c r="C39" s="707"/>
      <c r="D39" s="707"/>
      <c r="E39" s="707"/>
      <c r="F39" s="707">
        <f>F40+12</f>
        <v>42</v>
      </c>
      <c r="G39" s="761">
        <f>PRODUCT(H17:I17)</f>
        <v>1.03515</v>
      </c>
      <c r="H39" s="556">
        <f>1/G39</f>
        <v>0.96604356856494222</v>
      </c>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x14ac:dyDescent="0.25">
      <c r="A40" s="707"/>
      <c r="B40" s="707"/>
      <c r="C40" s="707"/>
      <c r="D40" s="707"/>
      <c r="E40" s="707"/>
      <c r="F40" s="707">
        <f>F41+12</f>
        <v>30</v>
      </c>
      <c r="G40" s="761">
        <f>PRODUCT(F17:I17)</f>
        <v>1.30801554</v>
      </c>
      <c r="H40" s="556">
        <f t="shared" ref="H40:H42" si="4">1/G40</f>
        <v>0.76451691086177764</v>
      </c>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x14ac:dyDescent="0.25">
      <c r="A41" s="707"/>
      <c r="B41" s="707"/>
      <c r="C41" s="707"/>
      <c r="D41" s="707"/>
      <c r="E41" s="707"/>
      <c r="F41" s="707">
        <f>F42+12</f>
        <v>18</v>
      </c>
      <c r="G41" s="761">
        <f>PRODUCT(D17:I17)</f>
        <v>2.4128962666380001</v>
      </c>
      <c r="H41" s="556">
        <f t="shared" si="4"/>
        <v>0.41443969797895464</v>
      </c>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x14ac:dyDescent="0.25">
      <c r="A42" s="707"/>
      <c r="B42" s="707"/>
      <c r="C42" s="707"/>
      <c r="D42" s="707"/>
      <c r="E42" s="707"/>
      <c r="F42" s="707">
        <v>6</v>
      </c>
      <c r="G42" s="761">
        <f>PRODUCT(B17:I17)</f>
        <v>7.354749110339287</v>
      </c>
      <c r="H42" s="556">
        <f t="shared" si="4"/>
        <v>0.13596656867522547</v>
      </c>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x14ac:dyDescent="0.25">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x14ac:dyDescent="0.25">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x14ac:dyDescent="0.25">
      <c r="A45" s="707"/>
      <c r="B45" s="707" t="s">
        <v>668</v>
      </c>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x14ac:dyDescent="0.25">
      <c r="A46" s="707"/>
      <c r="B46" s="707" t="s">
        <v>923</v>
      </c>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x14ac:dyDescent="0.25">
      <c r="A47" s="707"/>
      <c r="B47" s="707" t="s">
        <v>924</v>
      </c>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x14ac:dyDescent="0.25">
      <c r="A48" s="707"/>
      <c r="B48" s="707" t="s">
        <v>925</v>
      </c>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x14ac:dyDescent="0.25">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x14ac:dyDescent="0.25">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x14ac:dyDescent="0.25">
      <c r="A51" s="707"/>
      <c r="B51" s="707" t="s">
        <v>479</v>
      </c>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x14ac:dyDescent="0.25">
      <c r="A52" s="707"/>
      <c r="B52" s="707" t="s">
        <v>926</v>
      </c>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x14ac:dyDescent="0.25">
      <c r="A53" s="707"/>
      <c r="B53" s="707" t="s">
        <v>927</v>
      </c>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x14ac:dyDescent="0.25">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x14ac:dyDescent="0.25">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x14ac:dyDescent="0.25">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x14ac:dyDescent="0.25">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x14ac:dyDescent="0.25">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x14ac:dyDescent="0.25">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x14ac:dyDescent="0.25">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x14ac:dyDescent="0.25">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x14ac:dyDescent="0.25">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x14ac:dyDescent="0.25">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x14ac:dyDescent="0.25">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x14ac:dyDescent="0.25">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x14ac:dyDescent="0.25">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x14ac:dyDescent="0.25">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x14ac:dyDescent="0.25">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x14ac:dyDescent="0.25">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x14ac:dyDescent="0.25">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x14ac:dyDescent="0.25">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x14ac:dyDescent="0.25">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x14ac:dyDescent="0.25">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x14ac:dyDescent="0.25">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x14ac:dyDescent="0.25">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x14ac:dyDescent="0.25">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x14ac:dyDescent="0.25">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x14ac:dyDescent="0.25">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x14ac:dyDescent="0.25">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x14ac:dyDescent="0.25">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x14ac:dyDescent="0.25">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x14ac:dyDescent="0.25">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x14ac:dyDescent="0.25">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x14ac:dyDescent="0.25">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x14ac:dyDescent="0.25">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x14ac:dyDescent="0.25">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x14ac:dyDescent="0.25">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x14ac:dyDescent="0.25">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x14ac:dyDescent="0.25">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x14ac:dyDescent="0.25">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x14ac:dyDescent="0.25">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x14ac:dyDescent="0.25">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x14ac:dyDescent="0.25">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x14ac:dyDescent="0.25">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x14ac:dyDescent="0.25">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x14ac:dyDescent="0.25">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x14ac:dyDescent="0.25">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x14ac:dyDescent="0.25">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x14ac:dyDescent="0.25">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x14ac:dyDescent="0.25">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x14ac:dyDescent="0.25">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x14ac:dyDescent="0.25">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x14ac:dyDescent="0.25">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x14ac:dyDescent="0.25">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x14ac:dyDescent="0.25">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x14ac:dyDescent="0.25">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x14ac:dyDescent="0.25">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x14ac:dyDescent="0.25">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x14ac:dyDescent="0.25">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x14ac:dyDescent="0.25">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x14ac:dyDescent="0.25">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x14ac:dyDescent="0.25">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x14ac:dyDescent="0.25">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x14ac:dyDescent="0.25">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x14ac:dyDescent="0.25">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x14ac:dyDescent="0.25">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x14ac:dyDescent="0.25">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x14ac:dyDescent="0.25">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x14ac:dyDescent="0.25">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x14ac:dyDescent="0.25">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x14ac:dyDescent="0.25">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x14ac:dyDescent="0.25">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x14ac:dyDescent="0.25">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x14ac:dyDescent="0.25">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x14ac:dyDescent="0.25">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x14ac:dyDescent="0.25">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x14ac:dyDescent="0.25">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x14ac:dyDescent="0.25">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x14ac:dyDescent="0.25">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x14ac:dyDescent="0.25">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x14ac:dyDescent="0.25">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x14ac:dyDescent="0.25">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x14ac:dyDescent="0.25">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x14ac:dyDescent="0.25">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x14ac:dyDescent="0.25">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x14ac:dyDescent="0.25">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x14ac:dyDescent="0.25">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x14ac:dyDescent="0.25">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x14ac:dyDescent="0.25">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x14ac:dyDescent="0.25">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x14ac:dyDescent="0.25">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x14ac:dyDescent="0.25">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x14ac:dyDescent="0.25">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x14ac:dyDescent="0.25">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x14ac:dyDescent="0.25">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x14ac:dyDescent="0.25">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x14ac:dyDescent="0.25">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x14ac:dyDescent="0.25">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x14ac:dyDescent="0.25">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x14ac:dyDescent="0.25">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x14ac:dyDescent="0.25">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x14ac:dyDescent="0.25">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x14ac:dyDescent="0.25">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x14ac:dyDescent="0.25">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x14ac:dyDescent="0.25">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x14ac:dyDescent="0.25">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x14ac:dyDescent="0.25">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x14ac:dyDescent="0.25">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x14ac:dyDescent="0.25">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x14ac:dyDescent="0.25">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x14ac:dyDescent="0.25">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x14ac:dyDescent="0.25">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x14ac:dyDescent="0.25">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x14ac:dyDescent="0.25">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x14ac:dyDescent="0.25">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x14ac:dyDescent="0.25">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x14ac:dyDescent="0.25">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x14ac:dyDescent="0.25">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x14ac:dyDescent="0.25">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x14ac:dyDescent="0.25">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x14ac:dyDescent="0.25">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x14ac:dyDescent="0.25">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x14ac:dyDescent="0.25">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x14ac:dyDescent="0.25">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x14ac:dyDescent="0.25">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x14ac:dyDescent="0.25">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x14ac:dyDescent="0.25">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x14ac:dyDescent="0.25">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x14ac:dyDescent="0.25">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x14ac:dyDescent="0.25">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x14ac:dyDescent="0.25">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x14ac:dyDescent="0.25">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x14ac:dyDescent="0.25">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x14ac:dyDescent="0.25">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x14ac:dyDescent="0.25">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x14ac:dyDescent="0.25">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x14ac:dyDescent="0.25">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x14ac:dyDescent="0.25">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x14ac:dyDescent="0.25">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x14ac:dyDescent="0.25">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x14ac:dyDescent="0.25">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x14ac:dyDescent="0.25">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x14ac:dyDescent="0.25">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x14ac:dyDescent="0.25">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x14ac:dyDescent="0.25">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x14ac:dyDescent="0.25">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x14ac:dyDescent="0.25">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x14ac:dyDescent="0.25">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x14ac:dyDescent="0.25">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x14ac:dyDescent="0.25">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x14ac:dyDescent="0.25"/>
    <row r="202" spans="1:52" ht="14.85" hidden="1" customHeight="1" x14ac:dyDescent="0.25"/>
    <row r="203" spans="1:52" ht="14.85" hidden="1" customHeight="1" x14ac:dyDescent="0.25"/>
    <row r="204" spans="1:52" s="703" customFormat="1" ht="14.85" hidden="1" customHeight="1" x14ac:dyDescent="0.25">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x14ac:dyDescent="0.25">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x14ac:dyDescent="0.25">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x14ac:dyDescent="0.25">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x14ac:dyDescent="0.25">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x14ac:dyDescent="0.25">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x14ac:dyDescent="0.25">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x14ac:dyDescent="0.25">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x14ac:dyDescent="0.25">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x14ac:dyDescent="0.25"/>
    <row r="214" spans="1:52" ht="0" hidden="1" customHeight="1" x14ac:dyDescent="0.25"/>
    <row r="215" spans="1:52" ht="0" hidden="1" customHeight="1" x14ac:dyDescent="0.25"/>
    <row r="216" spans="1:52" ht="0" hidden="1" customHeight="1" x14ac:dyDescent="0.25"/>
    <row r="217" spans="1:52" ht="0" hidden="1" customHeight="1" x14ac:dyDescent="0.25"/>
  </sheetData>
  <conditionalFormatting sqref="B1">
    <cfRule type="cellIs" dxfId="29" priority="1" operator="equal">
      <formula>"Review Later"</formula>
    </cfRule>
    <cfRule type="cellIs" dxfId="28" priority="2" operator="equal">
      <formula>"Finished"</formula>
    </cfRule>
    <cfRule type="cellIs" dxfId="27" priority="3" operator="equal">
      <formula>"Incomplete"</formula>
    </cfRule>
  </conditionalFormatting>
  <pageMargins left="0.7" right="0.7" top="0.75" bottom="0.75" header="0.51180555555555496" footer="0.51180555555555496"/>
  <pageSetup firstPageNumber="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heetViews>
  <sheetFormatPr defaultColWidth="8.88671875" defaultRowHeight="13.2" x14ac:dyDescent="0.25"/>
  <cols>
    <col min="1" max="1" width="11.6640625" style="998" customWidth="1"/>
    <col min="2" max="2" width="14.44140625" style="998" customWidth="1"/>
    <col min="3" max="3" width="17.6640625" style="998" bestFit="1" customWidth="1"/>
    <col min="4" max="4" width="18.77734375" style="998" bestFit="1" customWidth="1"/>
    <col min="5" max="5" width="21.6640625" style="998" customWidth="1"/>
    <col min="6" max="10" width="14.6640625" style="998" customWidth="1"/>
    <col min="11" max="15" width="10.6640625" style="998" customWidth="1"/>
    <col min="16" max="16384" width="8.88671875" style="998"/>
  </cols>
  <sheetData>
    <row r="1" spans="1:15" ht="14.4" thickBot="1" x14ac:dyDescent="0.3">
      <c r="A1" s="3">
        <v>24</v>
      </c>
      <c r="B1" s="4"/>
      <c r="C1" s="704"/>
      <c r="D1" s="705"/>
      <c r="E1" s="705"/>
      <c r="F1" s="705"/>
      <c r="G1" s="705"/>
      <c r="H1" s="705"/>
      <c r="I1" s="705"/>
      <c r="J1" s="706"/>
      <c r="K1" s="707"/>
      <c r="L1" s="707"/>
      <c r="M1" s="707"/>
      <c r="N1" s="707"/>
      <c r="O1" s="707"/>
    </row>
    <row r="2" spans="1:15" ht="13.8" x14ac:dyDescent="0.25">
      <c r="A2" s="708" t="s">
        <v>4</v>
      </c>
      <c r="B2" s="709"/>
      <c r="C2" s="709"/>
      <c r="D2" s="709"/>
      <c r="E2" s="709"/>
      <c r="F2" s="709"/>
      <c r="G2" s="709"/>
      <c r="H2" s="709"/>
      <c r="I2" s="709"/>
      <c r="J2" s="710"/>
      <c r="K2" s="707"/>
      <c r="L2" s="707"/>
      <c r="M2" s="707"/>
      <c r="N2" s="707"/>
      <c r="O2" s="707"/>
    </row>
    <row r="3" spans="1:15" ht="13.8" x14ac:dyDescent="0.25">
      <c r="A3" s="711">
        <v>2.25</v>
      </c>
      <c r="B3" s="709"/>
      <c r="C3" s="709"/>
      <c r="D3" s="709"/>
      <c r="E3" s="709"/>
      <c r="F3" s="709"/>
      <c r="G3" s="709"/>
      <c r="H3" s="709"/>
      <c r="I3" s="709"/>
      <c r="J3" s="710"/>
      <c r="K3" s="707"/>
      <c r="L3" s="707"/>
      <c r="M3" s="707"/>
      <c r="N3" s="707"/>
      <c r="O3" s="707"/>
    </row>
    <row r="4" spans="1:15" ht="13.8" x14ac:dyDescent="0.25">
      <c r="A4" s="711"/>
      <c r="B4" s="712" t="s">
        <v>57</v>
      </c>
      <c r="C4" s="709"/>
      <c r="D4" s="709"/>
      <c r="E4" s="709"/>
      <c r="F4" s="709"/>
      <c r="G4" s="709"/>
      <c r="H4" s="709"/>
      <c r="I4" s="709"/>
      <c r="J4" s="710"/>
      <c r="K4" s="707"/>
      <c r="L4" s="707"/>
      <c r="M4" s="707"/>
      <c r="N4" s="707"/>
      <c r="O4" s="707"/>
    </row>
    <row r="5" spans="1:15" ht="14.4" thickBot="1" x14ac:dyDescent="0.3">
      <c r="A5" s="713"/>
      <c r="B5" s="714"/>
      <c r="C5" s="714"/>
      <c r="D5" s="714"/>
      <c r="E5" s="714"/>
      <c r="F5" s="714"/>
      <c r="G5" s="714"/>
      <c r="H5" s="714"/>
      <c r="I5" s="714"/>
      <c r="J5" s="715"/>
      <c r="K5" s="707"/>
      <c r="L5" s="707"/>
      <c r="M5" s="707"/>
      <c r="N5" s="707"/>
      <c r="O5" s="707"/>
    </row>
    <row r="6" spans="1:15" ht="13.8" x14ac:dyDescent="0.25">
      <c r="A6" s="711"/>
      <c r="B6" s="716"/>
      <c r="C6" s="717" t="s">
        <v>216</v>
      </c>
      <c r="D6" s="718"/>
      <c r="E6" s="719"/>
      <c r="F6" s="709"/>
      <c r="G6" s="709"/>
      <c r="H6" s="709"/>
      <c r="I6" s="709"/>
      <c r="J6" s="710"/>
      <c r="K6" s="707"/>
      <c r="L6" s="707"/>
      <c r="M6" s="707"/>
      <c r="N6" s="707"/>
      <c r="O6" s="707"/>
    </row>
    <row r="7" spans="1:15" ht="13.8" x14ac:dyDescent="0.25">
      <c r="A7" s="711"/>
      <c r="B7" s="720"/>
      <c r="C7" s="721" t="s">
        <v>883</v>
      </c>
      <c r="D7" s="721" t="s">
        <v>884</v>
      </c>
      <c r="E7" s="722" t="s">
        <v>884</v>
      </c>
      <c r="F7" s="723"/>
      <c r="G7" s="723"/>
      <c r="H7" s="723"/>
      <c r="I7" s="709"/>
      <c r="J7" s="710"/>
      <c r="K7" s="707"/>
      <c r="L7" s="707"/>
      <c r="M7" s="707"/>
      <c r="N7" s="707"/>
      <c r="O7" s="707"/>
    </row>
    <row r="8" spans="1:15" ht="13.8" x14ac:dyDescent="0.25">
      <c r="A8" s="711"/>
      <c r="B8" s="724" t="s">
        <v>117</v>
      </c>
      <c r="C8" s="721" t="s">
        <v>885</v>
      </c>
      <c r="D8" s="721" t="s">
        <v>885</v>
      </c>
      <c r="E8" s="725" t="s">
        <v>885</v>
      </c>
      <c r="F8" s="726"/>
      <c r="G8" s="726"/>
      <c r="H8" s="726"/>
      <c r="I8" s="709"/>
      <c r="J8" s="710"/>
      <c r="K8" s="707"/>
      <c r="L8" s="707"/>
      <c r="M8" s="707"/>
      <c r="N8" s="707"/>
      <c r="O8" s="707"/>
    </row>
    <row r="9" spans="1:15" ht="14.4" thickBot="1" x14ac:dyDescent="0.3">
      <c r="A9" s="711"/>
      <c r="B9" s="727" t="s">
        <v>94</v>
      </c>
      <c r="C9" s="728">
        <v>42916</v>
      </c>
      <c r="D9" s="728">
        <v>42916</v>
      </c>
      <c r="E9" s="729">
        <v>43100</v>
      </c>
      <c r="F9" s="730"/>
      <c r="G9" s="730"/>
      <c r="H9" s="731"/>
      <c r="I9" s="709"/>
      <c r="J9" s="710"/>
      <c r="K9" s="707"/>
      <c r="L9" s="707"/>
      <c r="M9" s="707"/>
      <c r="N9" s="707"/>
      <c r="O9" s="707"/>
    </row>
    <row r="10" spans="1:15" ht="13.8" x14ac:dyDescent="0.25">
      <c r="A10" s="711"/>
      <c r="B10" s="732">
        <v>2014</v>
      </c>
      <c r="C10" s="733">
        <v>3220</v>
      </c>
      <c r="D10" s="734">
        <v>3126</v>
      </c>
      <c r="E10" s="735">
        <v>3088</v>
      </c>
      <c r="F10" s="730"/>
      <c r="G10" s="730"/>
      <c r="H10" s="731"/>
      <c r="I10" s="709"/>
      <c r="J10" s="710"/>
      <c r="K10" s="707"/>
      <c r="L10" s="707"/>
      <c r="M10" s="707"/>
      <c r="N10" s="707"/>
      <c r="O10" s="707"/>
    </row>
    <row r="11" spans="1:15" ht="13.8" x14ac:dyDescent="0.25">
      <c r="A11" s="711"/>
      <c r="B11" s="736">
        <v>2015</v>
      </c>
      <c r="C11" s="737">
        <v>4229</v>
      </c>
      <c r="D11" s="738">
        <v>3248</v>
      </c>
      <c r="E11" s="739">
        <v>3796</v>
      </c>
      <c r="F11" s="730"/>
      <c r="G11" s="730"/>
      <c r="H11" s="731"/>
      <c r="I11" s="709"/>
      <c r="J11" s="710"/>
      <c r="K11" s="707"/>
      <c r="L11" s="707"/>
      <c r="M11" s="707"/>
      <c r="N11" s="707"/>
      <c r="O11" s="707"/>
    </row>
    <row r="12" spans="1:15" ht="13.8" x14ac:dyDescent="0.25">
      <c r="A12" s="711"/>
      <c r="B12" s="736">
        <v>2016</v>
      </c>
      <c r="C12" s="737">
        <v>4845</v>
      </c>
      <c r="D12" s="738">
        <v>2018</v>
      </c>
      <c r="E12" s="739">
        <v>2900</v>
      </c>
      <c r="F12" s="730"/>
      <c r="G12" s="730"/>
      <c r="H12" s="731"/>
      <c r="I12" s="709"/>
      <c r="J12" s="710"/>
      <c r="K12" s="707"/>
      <c r="L12" s="707"/>
      <c r="M12" s="707"/>
      <c r="N12" s="707"/>
      <c r="O12" s="707"/>
    </row>
    <row r="13" spans="1:15" ht="14.4" thickBot="1" x14ac:dyDescent="0.3">
      <c r="A13" s="711"/>
      <c r="B13" s="740">
        <v>2017</v>
      </c>
      <c r="C13" s="741">
        <v>5101</v>
      </c>
      <c r="D13" s="742">
        <v>697</v>
      </c>
      <c r="E13" s="743">
        <v>1565</v>
      </c>
      <c r="F13" s="709"/>
      <c r="G13" s="709"/>
      <c r="H13" s="709"/>
      <c r="I13" s="709"/>
      <c r="J13" s="710"/>
      <c r="K13" s="707"/>
      <c r="L13" s="707"/>
      <c r="M13" s="707"/>
      <c r="N13" s="707"/>
      <c r="O13" s="707"/>
    </row>
    <row r="14" spans="1:15" ht="14.4" thickBot="1" x14ac:dyDescent="0.3">
      <c r="A14" s="711"/>
      <c r="B14" s="714"/>
      <c r="C14" s="709"/>
      <c r="D14" s="709"/>
      <c r="E14" s="709"/>
      <c r="F14" s="709"/>
      <c r="G14" s="709"/>
      <c r="H14" s="709"/>
      <c r="I14" s="709"/>
      <c r="J14" s="710"/>
      <c r="K14" s="707"/>
      <c r="L14" s="707"/>
      <c r="M14" s="707"/>
      <c r="N14" s="707"/>
      <c r="O14" s="707"/>
    </row>
    <row r="15" spans="1:15" ht="14.4" thickBot="1" x14ac:dyDescent="0.3">
      <c r="A15" s="711"/>
      <c r="B15" s="744" t="s">
        <v>886</v>
      </c>
      <c r="C15" s="745"/>
      <c r="D15" s="745"/>
      <c r="E15" s="745"/>
      <c r="F15" s="745"/>
      <c r="G15" s="745"/>
      <c r="H15" s="745"/>
      <c r="I15" s="746"/>
      <c r="J15" s="710"/>
      <c r="K15" s="707"/>
      <c r="L15" s="707"/>
      <c r="M15" s="707"/>
      <c r="N15" s="707"/>
      <c r="O15" s="707"/>
    </row>
    <row r="16" spans="1:15" ht="13.8" x14ac:dyDescent="0.25">
      <c r="A16" s="711"/>
      <c r="B16" s="747" t="s">
        <v>887</v>
      </c>
      <c r="C16" s="748" t="s">
        <v>888</v>
      </c>
      <c r="D16" s="748" t="s">
        <v>889</v>
      </c>
      <c r="E16" s="748" t="s">
        <v>890</v>
      </c>
      <c r="F16" s="748" t="s">
        <v>891</v>
      </c>
      <c r="G16" s="748" t="s">
        <v>892</v>
      </c>
      <c r="H16" s="748" t="s">
        <v>893</v>
      </c>
      <c r="I16" s="749" t="s">
        <v>894</v>
      </c>
      <c r="J16" s="710"/>
      <c r="K16" s="707"/>
      <c r="L16" s="707"/>
      <c r="M16" s="707"/>
      <c r="N16" s="707"/>
      <c r="O16" s="707"/>
    </row>
    <row r="17" spans="1:15" ht="14.4" thickBot="1" x14ac:dyDescent="0.3">
      <c r="A17" s="711"/>
      <c r="B17" s="750">
        <v>1.87</v>
      </c>
      <c r="C17" s="751">
        <v>1.63</v>
      </c>
      <c r="D17" s="751">
        <v>1.43</v>
      </c>
      <c r="E17" s="751">
        <v>1.29</v>
      </c>
      <c r="F17" s="751">
        <v>1.17</v>
      </c>
      <c r="G17" s="751">
        <v>1.08</v>
      </c>
      <c r="H17" s="751">
        <v>1.03</v>
      </c>
      <c r="I17" s="752">
        <v>1.0049999999999999</v>
      </c>
      <c r="J17" s="710"/>
      <c r="K17" s="707"/>
      <c r="L17" s="707"/>
      <c r="M17" s="707"/>
      <c r="N17" s="707"/>
      <c r="O17" s="707"/>
    </row>
    <row r="18" spans="1:15" ht="13.8" x14ac:dyDescent="0.25">
      <c r="A18" s="711"/>
      <c r="B18" s="714"/>
      <c r="C18" s="714"/>
      <c r="D18" s="714"/>
      <c r="E18" s="714"/>
      <c r="F18" s="714"/>
      <c r="G18" s="714"/>
      <c r="H18" s="714"/>
      <c r="I18" s="714"/>
      <c r="J18" s="710"/>
      <c r="K18" s="707"/>
      <c r="L18" s="707"/>
      <c r="M18" s="707"/>
      <c r="N18" s="707"/>
      <c r="O18" s="707"/>
    </row>
    <row r="19" spans="1:15" ht="13.8" x14ac:dyDescent="0.25">
      <c r="A19" s="711">
        <v>1.25</v>
      </c>
      <c r="B19" s="709" t="s">
        <v>0</v>
      </c>
      <c r="C19" s="709"/>
      <c r="D19" s="709"/>
      <c r="E19" s="709"/>
      <c r="F19" s="709"/>
      <c r="G19" s="709"/>
      <c r="H19" s="709"/>
      <c r="I19" s="709"/>
      <c r="J19" s="710"/>
      <c r="K19" s="707"/>
      <c r="L19" s="707"/>
      <c r="M19" s="707"/>
      <c r="N19" s="707"/>
      <c r="O19" s="707"/>
    </row>
    <row r="20" spans="1:15" ht="13.8" x14ac:dyDescent="0.25">
      <c r="A20" s="753"/>
      <c r="B20" s="709" t="s">
        <v>895</v>
      </c>
      <c r="C20" s="709"/>
      <c r="D20" s="709"/>
      <c r="E20" s="709"/>
      <c r="F20" s="709"/>
      <c r="G20" s="709"/>
      <c r="H20" s="709"/>
      <c r="I20" s="709"/>
      <c r="J20" s="710"/>
      <c r="K20" s="707"/>
      <c r="L20" s="707"/>
      <c r="M20" s="707"/>
      <c r="N20" s="707"/>
      <c r="O20" s="707"/>
    </row>
    <row r="21" spans="1:15" ht="13.8" x14ac:dyDescent="0.25">
      <c r="A21" s="711"/>
      <c r="B21" s="709"/>
      <c r="C21" s="709"/>
      <c r="D21" s="709"/>
      <c r="E21" s="709"/>
      <c r="F21" s="709"/>
      <c r="G21" s="709"/>
      <c r="H21" s="709"/>
      <c r="I21" s="709"/>
      <c r="J21" s="710"/>
      <c r="K21" s="707"/>
      <c r="L21" s="707"/>
      <c r="M21" s="707"/>
      <c r="N21" s="707"/>
      <c r="O21" s="707"/>
    </row>
    <row r="22" spans="1:15" ht="13.8" x14ac:dyDescent="0.25">
      <c r="A22" s="711">
        <v>0.5</v>
      </c>
      <c r="B22" s="709" t="s">
        <v>1</v>
      </c>
      <c r="C22" s="709"/>
      <c r="D22" s="709"/>
      <c r="E22" s="709"/>
      <c r="F22" s="709"/>
      <c r="G22" s="709"/>
      <c r="H22" s="709"/>
      <c r="I22" s="709"/>
      <c r="J22" s="710"/>
      <c r="K22" s="707"/>
      <c r="L22" s="707"/>
      <c r="M22" s="707"/>
      <c r="N22" s="707"/>
      <c r="O22" s="707"/>
    </row>
    <row r="23" spans="1:15" ht="13.8" x14ac:dyDescent="0.25">
      <c r="A23" s="711"/>
      <c r="B23" s="754" t="s">
        <v>896</v>
      </c>
      <c r="C23" s="709"/>
      <c r="D23" s="709"/>
      <c r="E23" s="709"/>
      <c r="F23" s="709"/>
      <c r="G23" s="709"/>
      <c r="H23" s="709"/>
      <c r="I23" s="709"/>
      <c r="J23" s="710"/>
      <c r="K23" s="707"/>
      <c r="L23" s="707"/>
      <c r="M23" s="707"/>
      <c r="N23" s="707"/>
      <c r="O23" s="707"/>
    </row>
    <row r="24" spans="1:15" ht="13.8" x14ac:dyDescent="0.25">
      <c r="A24" s="711"/>
      <c r="B24" s="714"/>
      <c r="C24" s="709"/>
      <c r="D24" s="709"/>
      <c r="E24" s="709"/>
      <c r="F24" s="709"/>
      <c r="G24" s="709"/>
      <c r="H24" s="709"/>
      <c r="I24" s="709"/>
      <c r="J24" s="710"/>
      <c r="K24" s="707"/>
      <c r="L24" s="707"/>
      <c r="M24" s="707"/>
      <c r="N24" s="707"/>
      <c r="O24" s="707"/>
    </row>
    <row r="25" spans="1:15" ht="13.8" x14ac:dyDescent="0.25">
      <c r="A25" s="755">
        <v>0.5</v>
      </c>
      <c r="B25" s="714" t="s">
        <v>2</v>
      </c>
      <c r="C25" s="714"/>
      <c r="D25" s="714"/>
      <c r="E25" s="714"/>
      <c r="F25" s="714"/>
      <c r="G25" s="714"/>
      <c r="H25" s="714"/>
      <c r="I25" s="714"/>
      <c r="J25" s="715"/>
      <c r="K25" s="707"/>
      <c r="L25" s="707"/>
      <c r="M25" s="707"/>
      <c r="N25" s="707"/>
      <c r="O25" s="707"/>
    </row>
    <row r="26" spans="1:15" ht="13.8" x14ac:dyDescent="0.25">
      <c r="A26" s="756"/>
      <c r="B26" s="754" t="s">
        <v>897</v>
      </c>
      <c r="C26" s="714"/>
      <c r="D26" s="714"/>
      <c r="E26" s="714"/>
      <c r="F26" s="714"/>
      <c r="G26" s="714"/>
      <c r="H26" s="714"/>
      <c r="I26" s="714"/>
      <c r="J26" s="715"/>
      <c r="K26" s="707"/>
      <c r="L26" s="707"/>
      <c r="M26" s="707"/>
      <c r="N26" s="707"/>
      <c r="O26" s="707"/>
    </row>
    <row r="27" spans="1:15" ht="14.4" thickBot="1" x14ac:dyDescent="0.3">
      <c r="A27" s="757"/>
      <c r="B27" s="758"/>
      <c r="C27" s="759"/>
      <c r="D27" s="759"/>
      <c r="E27" s="759"/>
      <c r="F27" s="759"/>
      <c r="G27" s="759"/>
      <c r="H27" s="759"/>
      <c r="I27" s="759"/>
      <c r="J27" s="760"/>
      <c r="K27" s="707"/>
      <c r="L27" s="707"/>
      <c r="M27" s="707"/>
      <c r="N27" s="707"/>
      <c r="O27" s="707"/>
    </row>
    <row r="28" spans="1:15" ht="13.8" x14ac:dyDescent="0.25">
      <c r="A28" s="707" t="s">
        <v>280</v>
      </c>
      <c r="B28" s="707" t="s">
        <v>240</v>
      </c>
      <c r="C28" s="707" t="s">
        <v>1230</v>
      </c>
      <c r="D28" s="707" t="s">
        <v>1231</v>
      </c>
      <c r="E28" s="707" t="s">
        <v>1232</v>
      </c>
      <c r="F28" s="707"/>
      <c r="G28" s="707"/>
      <c r="H28" s="707"/>
      <c r="I28" s="707"/>
      <c r="J28" s="707"/>
      <c r="K28" s="707"/>
      <c r="L28" s="707"/>
      <c r="M28" s="707"/>
      <c r="N28" s="707"/>
      <c r="O28" s="707"/>
    </row>
    <row r="29" spans="1:15" ht="13.8" x14ac:dyDescent="0.25">
      <c r="A29" s="707"/>
      <c r="B29" s="707">
        <v>2014</v>
      </c>
      <c r="C29" s="453">
        <f>E10-D10</f>
        <v>-38</v>
      </c>
      <c r="D29" s="453">
        <f>(H17-1)*D10</f>
        <v>93.780000000000086</v>
      </c>
      <c r="E29" s="453">
        <f>C29-D29</f>
        <v>-131.78000000000009</v>
      </c>
      <c r="F29" s="707"/>
      <c r="G29" s="707"/>
      <c r="H29" s="707"/>
      <c r="I29" s="707"/>
      <c r="J29" s="707"/>
      <c r="K29" s="707"/>
      <c r="L29" s="707"/>
      <c r="M29" s="707"/>
      <c r="N29" s="707"/>
      <c r="O29" s="707"/>
    </row>
    <row r="30" spans="1:15" ht="13.8" x14ac:dyDescent="0.25">
      <c r="A30" s="707"/>
      <c r="B30" s="707">
        <v>2015</v>
      </c>
      <c r="C30" s="453">
        <f t="shared" ref="C30:C32" si="0">E11-D11</f>
        <v>548</v>
      </c>
      <c r="D30" s="453">
        <f>(F17-1)*D11</f>
        <v>552.15999999999974</v>
      </c>
      <c r="E30" s="453">
        <f t="shared" ref="E30:E32" si="1">C30-D30</f>
        <v>-4.1599999999997408</v>
      </c>
      <c r="F30" s="707"/>
      <c r="G30" s="707"/>
      <c r="H30" s="707"/>
      <c r="I30" s="707"/>
      <c r="J30" s="707"/>
      <c r="K30" s="707"/>
      <c r="L30" s="707"/>
      <c r="M30" s="707"/>
      <c r="N30" s="707"/>
      <c r="O30" s="707"/>
    </row>
    <row r="31" spans="1:15" ht="13.8" x14ac:dyDescent="0.25">
      <c r="A31" s="707"/>
      <c r="B31" s="707">
        <v>2016</v>
      </c>
      <c r="C31" s="453">
        <f t="shared" si="0"/>
        <v>882</v>
      </c>
      <c r="D31" s="453">
        <f>(D17-1)*D12</f>
        <v>867.7399999999999</v>
      </c>
      <c r="E31" s="453">
        <f t="shared" si="1"/>
        <v>14.260000000000105</v>
      </c>
      <c r="F31" s="707"/>
      <c r="G31" s="707"/>
      <c r="H31" s="707"/>
      <c r="I31" s="707"/>
      <c r="J31" s="707"/>
      <c r="K31" s="707"/>
      <c r="L31" s="707"/>
      <c r="M31" s="707"/>
      <c r="N31" s="707"/>
      <c r="O31" s="707"/>
    </row>
    <row r="32" spans="1:15" ht="13.8" x14ac:dyDescent="0.25">
      <c r="A32" s="707"/>
      <c r="B32" s="707">
        <v>2017</v>
      </c>
      <c r="C32" s="453">
        <f t="shared" si="0"/>
        <v>868</v>
      </c>
      <c r="D32" s="453">
        <f>(B17-1)*D13</f>
        <v>606.3900000000001</v>
      </c>
      <c r="E32" s="453">
        <f t="shared" si="1"/>
        <v>261.6099999999999</v>
      </c>
      <c r="F32" s="707"/>
      <c r="G32" s="707"/>
      <c r="H32" s="707"/>
      <c r="I32" s="707"/>
      <c r="J32" s="707"/>
      <c r="K32" s="707"/>
      <c r="L32" s="707"/>
      <c r="M32" s="707"/>
      <c r="N32" s="707"/>
      <c r="O32" s="707"/>
    </row>
    <row r="33" spans="1:15" ht="13.8" x14ac:dyDescent="0.25">
      <c r="A33" s="707"/>
      <c r="B33" s="707"/>
      <c r="C33" s="707"/>
      <c r="D33" s="707"/>
      <c r="E33" s="707"/>
      <c r="F33" s="707"/>
      <c r="G33" s="707"/>
      <c r="H33" s="707"/>
      <c r="I33" s="707"/>
      <c r="J33" s="707"/>
      <c r="K33" s="707"/>
      <c r="L33" s="707"/>
      <c r="M33" s="707"/>
      <c r="N33" s="707"/>
      <c r="O33" s="707"/>
    </row>
    <row r="34" spans="1:15" ht="13.8" x14ac:dyDescent="0.25">
      <c r="A34" s="707" t="s">
        <v>298</v>
      </c>
      <c r="B34" s="707" t="s">
        <v>1233</v>
      </c>
      <c r="C34" s="707"/>
      <c r="D34" s="707"/>
      <c r="E34" s="707"/>
      <c r="F34" s="707"/>
      <c r="G34" s="707"/>
      <c r="H34" s="707"/>
      <c r="I34" s="707"/>
      <c r="J34" s="707"/>
      <c r="K34" s="707"/>
      <c r="L34" s="707"/>
      <c r="M34" s="707"/>
      <c r="N34" s="707"/>
      <c r="O34" s="707"/>
    </row>
    <row r="35" spans="1:15" ht="13.8" x14ac:dyDescent="0.25">
      <c r="A35" s="707"/>
      <c r="B35" s="707" t="s">
        <v>1234</v>
      </c>
      <c r="C35" s="707"/>
      <c r="D35" s="707"/>
      <c r="E35" s="707"/>
      <c r="F35" s="707"/>
      <c r="G35" s="707"/>
      <c r="H35" s="707"/>
      <c r="I35" s="707"/>
      <c r="J35" s="707"/>
      <c r="K35" s="707"/>
      <c r="L35" s="707"/>
      <c r="M35" s="707"/>
      <c r="N35" s="707"/>
      <c r="O35" s="707"/>
    </row>
    <row r="36" spans="1:15" ht="13.8" x14ac:dyDescent="0.25">
      <c r="A36" s="707"/>
      <c r="B36" s="707"/>
      <c r="C36" s="707"/>
      <c r="D36" s="707"/>
      <c r="E36" s="707"/>
      <c r="F36" s="707"/>
      <c r="G36" s="707"/>
      <c r="H36" s="707"/>
      <c r="I36" s="707"/>
      <c r="J36" s="707"/>
      <c r="K36" s="707"/>
      <c r="L36" s="707"/>
      <c r="M36" s="707"/>
      <c r="N36" s="707"/>
      <c r="O36" s="707"/>
    </row>
    <row r="37" spans="1:15" ht="13.8" x14ac:dyDescent="0.25">
      <c r="A37" s="707" t="s">
        <v>585</v>
      </c>
      <c r="B37" s="707" t="s">
        <v>1235</v>
      </c>
      <c r="C37" s="707"/>
      <c r="D37" s="707"/>
      <c r="E37" s="707"/>
      <c r="F37" s="707"/>
      <c r="G37" s="707"/>
      <c r="H37" s="707"/>
      <c r="I37" s="707"/>
      <c r="J37" s="707"/>
      <c r="K37" s="707"/>
      <c r="L37" s="707"/>
      <c r="M37" s="707"/>
      <c r="N37" s="707"/>
      <c r="O37" s="707"/>
    </row>
    <row r="38" spans="1:15" ht="13.8" x14ac:dyDescent="0.25">
      <c r="A38" s="707"/>
      <c r="B38" s="707" t="s">
        <v>1236</v>
      </c>
      <c r="C38" s="707"/>
      <c r="D38" s="707"/>
      <c r="E38" s="707"/>
      <c r="F38" s="707"/>
      <c r="G38" s="707"/>
      <c r="H38" s="707"/>
      <c r="I38" s="707"/>
      <c r="J38" s="707"/>
      <c r="K38" s="707"/>
      <c r="L38" s="707"/>
      <c r="M38" s="707"/>
      <c r="N38" s="707"/>
      <c r="O38" s="707"/>
    </row>
    <row r="39" spans="1:15" ht="13.8" x14ac:dyDescent="0.25">
      <c r="A39" s="707"/>
      <c r="B39" s="707"/>
      <c r="C39" s="707"/>
      <c r="D39" s="707"/>
      <c r="E39" s="707"/>
      <c r="F39" s="707"/>
      <c r="G39" s="707"/>
      <c r="H39" s="707"/>
      <c r="I39" s="707"/>
      <c r="J39" s="707"/>
      <c r="K39" s="707"/>
      <c r="L39" s="707"/>
      <c r="M39" s="707"/>
      <c r="N39" s="707"/>
      <c r="O39" s="707"/>
    </row>
  </sheetData>
  <conditionalFormatting sqref="B1">
    <cfRule type="cellIs" dxfId="26" priority="1" operator="equal">
      <formula>"Review Later"</formula>
    </cfRule>
    <cfRule type="cellIs" dxfId="25" priority="2" operator="equal">
      <formula>"Finished"</formula>
    </cfRule>
    <cfRule type="cellIs" dxfId="24" priority="3" operator="equal">
      <formula>"Incomplete"</formula>
    </cfRule>
  </conditionalFormatting>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8.88671875" defaultRowHeight="13.2" x14ac:dyDescent="0.25"/>
  <cols>
    <col min="1" max="1" width="11.6640625" style="998" customWidth="1"/>
    <col min="2" max="2" width="14.44140625" style="998" customWidth="1"/>
    <col min="3" max="3" width="17.6640625" style="998" bestFit="1" customWidth="1"/>
    <col min="4" max="4" width="18.77734375" style="998" bestFit="1" customWidth="1"/>
    <col min="5" max="5" width="21.6640625" style="998" customWidth="1"/>
    <col min="6" max="10" width="14.6640625" style="998" customWidth="1"/>
    <col min="11" max="13" width="10.6640625" style="998" customWidth="1"/>
    <col min="14" max="16384" width="8.88671875" style="998"/>
  </cols>
  <sheetData>
    <row r="1" spans="1:13" ht="14.4" thickBot="1" x14ac:dyDescent="0.3">
      <c r="A1" s="1000">
        <v>24</v>
      </c>
      <c r="B1" s="1001"/>
      <c r="C1" s="1002"/>
      <c r="D1" s="1003"/>
      <c r="E1" s="1003"/>
      <c r="F1" s="1003"/>
      <c r="G1" s="1003"/>
      <c r="H1" s="1003"/>
      <c r="I1" s="1003"/>
      <c r="J1" s="1004"/>
      <c r="K1" s="1005"/>
      <c r="L1" s="1005"/>
      <c r="M1" s="1005"/>
    </row>
    <row r="2" spans="1:13" ht="13.8" x14ac:dyDescent="0.25">
      <c r="A2" s="1006" t="s">
        <v>4</v>
      </c>
      <c r="B2" s="1007"/>
      <c r="C2" s="1007"/>
      <c r="D2" s="1007"/>
      <c r="E2" s="1007"/>
      <c r="F2" s="1007"/>
      <c r="G2" s="1007"/>
      <c r="H2" s="1007"/>
      <c r="I2" s="1007"/>
      <c r="J2" s="1008"/>
      <c r="K2" s="1005"/>
      <c r="L2" s="1005"/>
      <c r="M2" s="1005"/>
    </row>
    <row r="3" spans="1:13" ht="13.8" x14ac:dyDescent="0.25">
      <c r="A3" s="1009">
        <v>2.25</v>
      </c>
      <c r="B3" s="1007"/>
      <c r="C3" s="1007"/>
      <c r="D3" s="1007"/>
      <c r="E3" s="1007"/>
      <c r="F3" s="1007"/>
      <c r="G3" s="1007"/>
      <c r="H3" s="1007"/>
      <c r="I3" s="1007"/>
      <c r="J3" s="1008"/>
      <c r="K3" s="1005"/>
      <c r="L3" s="1005"/>
      <c r="M3" s="1005"/>
    </row>
    <row r="4" spans="1:13" ht="13.8" x14ac:dyDescent="0.25">
      <c r="A4" s="1009"/>
      <c r="B4" s="1010" t="s">
        <v>57</v>
      </c>
      <c r="C4" s="1007"/>
      <c r="D4" s="1007"/>
      <c r="E4" s="1007"/>
      <c r="F4" s="1007"/>
      <c r="G4" s="1007"/>
      <c r="H4" s="1007"/>
      <c r="I4" s="1007"/>
      <c r="J4" s="1008"/>
      <c r="K4" s="1005"/>
      <c r="L4" s="1005"/>
      <c r="M4" s="1005"/>
    </row>
    <row r="5" spans="1:13" ht="14.4" thickBot="1" x14ac:dyDescent="0.3">
      <c r="A5" s="1011"/>
      <c r="B5" s="1012"/>
      <c r="C5" s="1012"/>
      <c r="D5" s="1012"/>
      <c r="E5" s="1012"/>
      <c r="F5" s="1012"/>
      <c r="G5" s="1012"/>
      <c r="H5" s="1012"/>
      <c r="I5" s="1012"/>
      <c r="J5" s="1013"/>
      <c r="K5" s="1005"/>
      <c r="L5" s="1005"/>
      <c r="M5" s="1005"/>
    </row>
    <row r="6" spans="1:13" ht="13.8" x14ac:dyDescent="0.25">
      <c r="A6" s="1009"/>
      <c r="B6" s="1014"/>
      <c r="C6" s="1015" t="s">
        <v>216</v>
      </c>
      <c r="D6" s="1016"/>
      <c r="E6" s="1017"/>
      <c r="F6" s="1007"/>
      <c r="G6" s="1007"/>
      <c r="H6" s="1007"/>
      <c r="I6" s="1007"/>
      <c r="J6" s="1008"/>
      <c r="K6" s="1005"/>
      <c r="L6" s="1005"/>
      <c r="M6" s="1005"/>
    </row>
    <row r="7" spans="1:13" ht="13.8" x14ac:dyDescent="0.25">
      <c r="A7" s="1009"/>
      <c r="B7" s="1018"/>
      <c r="C7" s="1019" t="s">
        <v>883</v>
      </c>
      <c r="D7" s="1019" t="s">
        <v>884</v>
      </c>
      <c r="E7" s="1020" t="s">
        <v>884</v>
      </c>
      <c r="F7" s="1021"/>
      <c r="G7" s="1021"/>
      <c r="H7" s="1021"/>
      <c r="I7" s="1007"/>
      <c r="J7" s="1008"/>
      <c r="K7" s="1005"/>
      <c r="L7" s="1005"/>
      <c r="M7" s="1005"/>
    </row>
    <row r="8" spans="1:13" ht="13.8" x14ac:dyDescent="0.25">
      <c r="A8" s="1009"/>
      <c r="B8" s="1022" t="s">
        <v>117</v>
      </c>
      <c r="C8" s="1019" t="s">
        <v>885</v>
      </c>
      <c r="D8" s="1019" t="s">
        <v>885</v>
      </c>
      <c r="E8" s="1023" t="s">
        <v>885</v>
      </c>
      <c r="F8" s="1024"/>
      <c r="G8" s="1024"/>
      <c r="H8" s="1024"/>
      <c r="I8" s="1007"/>
      <c r="J8" s="1008"/>
      <c r="K8" s="1005"/>
      <c r="L8" s="1005"/>
      <c r="M8" s="1005"/>
    </row>
    <row r="9" spans="1:13" ht="14.4" thickBot="1" x14ac:dyDescent="0.3">
      <c r="A9" s="1009"/>
      <c r="B9" s="1025" t="s">
        <v>94</v>
      </c>
      <c r="C9" s="1026">
        <v>42916</v>
      </c>
      <c r="D9" s="1026">
        <v>42916</v>
      </c>
      <c r="E9" s="1027">
        <v>43100</v>
      </c>
      <c r="F9" s="1028"/>
      <c r="G9" s="1028"/>
      <c r="H9" s="1029"/>
      <c r="I9" s="1007"/>
      <c r="J9" s="1008"/>
      <c r="K9" s="1005"/>
      <c r="L9" s="1005"/>
      <c r="M9" s="1005"/>
    </row>
    <row r="10" spans="1:13" ht="13.8" x14ac:dyDescent="0.25">
      <c r="A10" s="1009"/>
      <c r="B10" s="1030">
        <v>2014</v>
      </c>
      <c r="C10" s="1031">
        <v>3220</v>
      </c>
      <c r="D10" s="1032">
        <v>3126</v>
      </c>
      <c r="E10" s="1033">
        <v>3088</v>
      </c>
      <c r="F10" s="1028"/>
      <c r="G10" s="1028"/>
      <c r="H10" s="1029"/>
      <c r="I10" s="1007"/>
      <c r="J10" s="1008"/>
      <c r="K10" s="1005"/>
      <c r="L10" s="1005"/>
      <c r="M10" s="1005"/>
    </row>
    <row r="11" spans="1:13" ht="13.8" x14ac:dyDescent="0.25">
      <c r="A11" s="1009"/>
      <c r="B11" s="1034">
        <v>2015</v>
      </c>
      <c r="C11" s="1035">
        <v>4229</v>
      </c>
      <c r="D11" s="1036">
        <v>3248</v>
      </c>
      <c r="E11" s="1037">
        <v>3796</v>
      </c>
      <c r="F11" s="1028"/>
      <c r="G11" s="1028"/>
      <c r="H11" s="1029"/>
      <c r="I11" s="1007"/>
      <c r="J11" s="1008"/>
      <c r="K11" s="1005"/>
      <c r="L11" s="1005"/>
      <c r="M11" s="1005"/>
    </row>
    <row r="12" spans="1:13" ht="13.8" x14ac:dyDescent="0.25">
      <c r="A12" s="1009"/>
      <c r="B12" s="1034">
        <v>2016</v>
      </c>
      <c r="C12" s="1035">
        <v>4845</v>
      </c>
      <c r="D12" s="1036">
        <v>2018</v>
      </c>
      <c r="E12" s="1037">
        <v>2900</v>
      </c>
      <c r="F12" s="1028"/>
      <c r="G12" s="1028"/>
      <c r="H12" s="1029"/>
      <c r="I12" s="1007"/>
      <c r="J12" s="1008"/>
      <c r="K12" s="1005"/>
      <c r="L12" s="1005"/>
      <c r="M12" s="1005"/>
    </row>
    <row r="13" spans="1:13" ht="14.4" thickBot="1" x14ac:dyDescent="0.3">
      <c r="A13" s="1009"/>
      <c r="B13" s="1038">
        <v>2017</v>
      </c>
      <c r="C13" s="1039">
        <v>5101</v>
      </c>
      <c r="D13" s="1040">
        <v>697</v>
      </c>
      <c r="E13" s="1041">
        <v>1565</v>
      </c>
      <c r="F13" s="1007"/>
      <c r="G13" s="1007"/>
      <c r="H13" s="1007"/>
      <c r="I13" s="1007"/>
      <c r="J13" s="1008"/>
      <c r="K13" s="1005"/>
      <c r="L13" s="1005"/>
      <c r="M13" s="1005"/>
    </row>
    <row r="14" spans="1:13" ht="14.4" thickBot="1" x14ac:dyDescent="0.3">
      <c r="A14" s="1009"/>
      <c r="B14" s="1012"/>
      <c r="C14" s="1007"/>
      <c r="D14" s="1007"/>
      <c r="E14" s="1007"/>
      <c r="F14" s="1007"/>
      <c r="G14" s="1007"/>
      <c r="H14" s="1007"/>
      <c r="I14" s="1007"/>
      <c r="J14" s="1008"/>
      <c r="K14" s="1005"/>
      <c r="L14" s="1005"/>
      <c r="M14" s="1005"/>
    </row>
    <row r="15" spans="1:13" ht="14.4" thickBot="1" x14ac:dyDescent="0.3">
      <c r="A15" s="1009"/>
      <c r="B15" s="1042" t="s">
        <v>886</v>
      </c>
      <c r="C15" s="1043"/>
      <c r="D15" s="1043"/>
      <c r="E15" s="1043"/>
      <c r="F15" s="1043"/>
      <c r="G15" s="1043"/>
      <c r="H15" s="1043"/>
      <c r="I15" s="1044"/>
      <c r="J15" s="1008"/>
      <c r="K15" s="1005"/>
      <c r="L15" s="1005"/>
      <c r="M15" s="1005"/>
    </row>
    <row r="16" spans="1:13" ht="13.8" x14ac:dyDescent="0.25">
      <c r="A16" s="1009"/>
      <c r="B16" s="1045" t="s">
        <v>887</v>
      </c>
      <c r="C16" s="1046" t="s">
        <v>888</v>
      </c>
      <c r="D16" s="1046" t="s">
        <v>889</v>
      </c>
      <c r="E16" s="1046" t="s">
        <v>890</v>
      </c>
      <c r="F16" s="1046" t="s">
        <v>891</v>
      </c>
      <c r="G16" s="1046" t="s">
        <v>892</v>
      </c>
      <c r="H16" s="1046" t="s">
        <v>893</v>
      </c>
      <c r="I16" s="1047" t="s">
        <v>894</v>
      </c>
      <c r="J16" s="1008"/>
      <c r="K16" s="1005"/>
      <c r="L16" s="1005"/>
      <c r="M16" s="1005"/>
    </row>
    <row r="17" spans="1:13" ht="14.4" thickBot="1" x14ac:dyDescent="0.3">
      <c r="A17" s="1009"/>
      <c r="B17" s="1048">
        <v>1.87</v>
      </c>
      <c r="C17" s="1049">
        <v>1.63</v>
      </c>
      <c r="D17" s="1049">
        <v>1.43</v>
      </c>
      <c r="E17" s="1049">
        <v>1.29</v>
      </c>
      <c r="F17" s="1049">
        <v>1.17</v>
      </c>
      <c r="G17" s="1049">
        <v>1.08</v>
      </c>
      <c r="H17" s="1049">
        <v>1.03</v>
      </c>
      <c r="I17" s="1050">
        <v>1.0049999999999999</v>
      </c>
      <c r="J17" s="1008"/>
      <c r="K17" s="1005"/>
      <c r="L17" s="1005"/>
      <c r="M17" s="1005"/>
    </row>
    <row r="18" spans="1:13" ht="13.8" x14ac:dyDescent="0.25">
      <c r="A18" s="1009"/>
      <c r="B18" s="1012"/>
      <c r="C18" s="1012"/>
      <c r="D18" s="1012"/>
      <c r="E18" s="1012"/>
      <c r="F18" s="1012"/>
      <c r="G18" s="1012"/>
      <c r="H18" s="1012"/>
      <c r="I18" s="1012"/>
      <c r="J18" s="1008"/>
      <c r="K18" s="1005"/>
      <c r="L18" s="1005"/>
      <c r="M18" s="1005"/>
    </row>
    <row r="19" spans="1:13" ht="13.8" x14ac:dyDescent="0.25">
      <c r="A19" s="1009">
        <v>1.25</v>
      </c>
      <c r="B19" s="1007" t="s">
        <v>0</v>
      </c>
      <c r="C19" s="1007"/>
      <c r="D19" s="1007"/>
      <c r="E19" s="1007"/>
      <c r="F19" s="1007"/>
      <c r="G19" s="1007"/>
      <c r="H19" s="1007"/>
      <c r="I19" s="1007"/>
      <c r="J19" s="1008"/>
      <c r="K19" s="1005"/>
      <c r="L19" s="1005"/>
      <c r="M19" s="1005"/>
    </row>
    <row r="20" spans="1:13" ht="13.8" x14ac:dyDescent="0.25">
      <c r="A20" s="1051"/>
      <c r="B20" s="1007" t="s">
        <v>895</v>
      </c>
      <c r="C20" s="1007"/>
      <c r="D20" s="1007"/>
      <c r="E20" s="1007"/>
      <c r="F20" s="1007"/>
      <c r="G20" s="1007"/>
      <c r="H20" s="1007"/>
      <c r="I20" s="1007"/>
      <c r="J20" s="1008"/>
      <c r="K20" s="1005"/>
      <c r="L20" s="1005"/>
      <c r="M20" s="1005"/>
    </row>
    <row r="21" spans="1:13" ht="13.8" x14ac:dyDescent="0.25">
      <c r="A21" s="1009"/>
      <c r="B21" s="1007"/>
      <c r="C21" s="1007"/>
      <c r="D21" s="1007"/>
      <c r="E21" s="1007"/>
      <c r="F21" s="1007"/>
      <c r="G21" s="1007"/>
      <c r="H21" s="1007"/>
      <c r="I21" s="1007"/>
      <c r="J21" s="1008"/>
      <c r="K21" s="1005"/>
      <c r="L21" s="1005"/>
      <c r="M21" s="1005"/>
    </row>
    <row r="22" spans="1:13" ht="13.8" x14ac:dyDescent="0.25">
      <c r="A22" s="1009">
        <v>0.5</v>
      </c>
      <c r="B22" s="1007" t="s">
        <v>1</v>
      </c>
      <c r="C22" s="1007"/>
      <c r="D22" s="1007"/>
      <c r="E22" s="1007"/>
      <c r="F22" s="1007"/>
      <c r="G22" s="1007"/>
      <c r="H22" s="1007"/>
      <c r="I22" s="1007"/>
      <c r="J22" s="1008"/>
      <c r="K22" s="1005"/>
      <c r="L22" s="1005"/>
      <c r="M22" s="1005"/>
    </row>
    <row r="23" spans="1:13" ht="13.8" x14ac:dyDescent="0.25">
      <c r="A23" s="1009"/>
      <c r="B23" s="1052" t="s">
        <v>896</v>
      </c>
      <c r="C23" s="1007"/>
      <c r="D23" s="1007"/>
      <c r="E23" s="1007"/>
      <c r="F23" s="1007"/>
      <c r="G23" s="1007"/>
      <c r="H23" s="1007"/>
      <c r="I23" s="1007"/>
      <c r="J23" s="1008"/>
      <c r="K23" s="1005"/>
      <c r="L23" s="1005"/>
      <c r="M23" s="1005"/>
    </row>
    <row r="24" spans="1:13" ht="13.8" x14ac:dyDescent="0.25">
      <c r="A24" s="1009"/>
      <c r="B24" s="1012"/>
      <c r="C24" s="1007"/>
      <c r="D24" s="1007"/>
      <c r="E24" s="1007"/>
      <c r="F24" s="1007"/>
      <c r="G24" s="1007"/>
      <c r="H24" s="1007"/>
      <c r="I24" s="1007"/>
      <c r="J24" s="1008"/>
      <c r="K24" s="1005"/>
      <c r="L24" s="1005"/>
      <c r="M24" s="1005"/>
    </row>
    <row r="25" spans="1:13" ht="13.8" x14ac:dyDescent="0.25">
      <c r="A25" s="1053">
        <v>0.5</v>
      </c>
      <c r="B25" s="1012" t="s">
        <v>2</v>
      </c>
      <c r="C25" s="1012"/>
      <c r="D25" s="1012"/>
      <c r="E25" s="1012"/>
      <c r="F25" s="1012"/>
      <c r="G25" s="1012"/>
      <c r="H25" s="1012"/>
      <c r="I25" s="1012"/>
      <c r="J25" s="1013"/>
      <c r="K25" s="1005"/>
      <c r="L25" s="1005"/>
      <c r="M25" s="1005"/>
    </row>
    <row r="26" spans="1:13" ht="13.8" x14ac:dyDescent="0.25">
      <c r="A26" s="1054"/>
      <c r="B26" s="1052" t="s">
        <v>897</v>
      </c>
      <c r="C26" s="1012"/>
      <c r="D26" s="1012"/>
      <c r="E26" s="1012"/>
      <c r="F26" s="1012"/>
      <c r="G26" s="1012"/>
      <c r="H26" s="1012"/>
      <c r="I26" s="1012"/>
      <c r="J26" s="1013"/>
      <c r="K26" s="1005"/>
      <c r="L26" s="1005"/>
      <c r="M26" s="1005"/>
    </row>
    <row r="27" spans="1:13" ht="14.4" thickBot="1" x14ac:dyDescent="0.3">
      <c r="A27" s="1055"/>
      <c r="B27" s="1056"/>
      <c r="C27" s="1057"/>
      <c r="D27" s="1057"/>
      <c r="E27" s="1057"/>
      <c r="F27" s="1057"/>
      <c r="G27" s="1057"/>
      <c r="H27" s="1057"/>
      <c r="I27" s="1057"/>
      <c r="J27" s="1058"/>
      <c r="K27" s="1005"/>
      <c r="L27" s="1005"/>
      <c r="M27" s="1005"/>
    </row>
    <row r="28" spans="1:13" ht="13.8" x14ac:dyDescent="0.25">
      <c r="A28" s="1005"/>
      <c r="B28" s="1005"/>
      <c r="C28" s="1005"/>
      <c r="D28" s="1005"/>
      <c r="E28" s="1005"/>
      <c r="F28" s="1005"/>
      <c r="G28" s="1005"/>
      <c r="H28" s="1005"/>
      <c r="I28" s="1005"/>
      <c r="J28" s="1005"/>
      <c r="K28" s="1005"/>
      <c r="L28" s="1005"/>
      <c r="M28" s="1005"/>
    </row>
    <row r="29" spans="1:13" ht="13.8" x14ac:dyDescent="0.25">
      <c r="A29" s="1005"/>
      <c r="B29" s="1005"/>
      <c r="C29" s="1005"/>
      <c r="D29" s="1005"/>
      <c r="E29" s="1005"/>
      <c r="F29" s="1005"/>
      <c r="G29" s="1005"/>
      <c r="H29" s="1005"/>
      <c r="I29" s="1005"/>
      <c r="J29" s="1005"/>
      <c r="K29" s="1005"/>
      <c r="L29" s="1005"/>
      <c r="M29" s="1005"/>
    </row>
    <row r="30" spans="1:13" ht="13.8" x14ac:dyDescent="0.25">
      <c r="A30" s="1005"/>
      <c r="B30" s="1005" t="s">
        <v>280</v>
      </c>
      <c r="C30" s="1005"/>
      <c r="D30" s="1005"/>
      <c r="E30" s="1005"/>
      <c r="F30" s="1005"/>
      <c r="G30" s="1005"/>
      <c r="H30" s="1005"/>
      <c r="I30" s="1005"/>
      <c r="J30" s="1005"/>
      <c r="K30" s="1005"/>
      <c r="L30" s="1005"/>
      <c r="M30" s="1005"/>
    </row>
    <row r="31" spans="1:13" ht="13.8" x14ac:dyDescent="0.25">
      <c r="A31" s="1005"/>
      <c r="B31" s="1005"/>
      <c r="C31" s="1061" t="str">
        <f t="shared" ref="C31:J31" si="0">B16</f>
        <v>6-12</v>
      </c>
      <c r="D31" s="1061" t="str">
        <f t="shared" si="0"/>
        <v>12-18</v>
      </c>
      <c r="E31" s="1061" t="str">
        <f t="shared" si="0"/>
        <v>18-24</v>
      </c>
      <c r="F31" s="1061" t="str">
        <f t="shared" si="0"/>
        <v>24-30</v>
      </c>
      <c r="G31" s="1061" t="str">
        <f t="shared" si="0"/>
        <v>30-36</v>
      </c>
      <c r="H31" s="1061" t="str">
        <f t="shared" si="0"/>
        <v>36-42</v>
      </c>
      <c r="I31" s="1061" t="str">
        <f t="shared" si="0"/>
        <v>42-48</v>
      </c>
      <c r="J31" s="1061" t="str">
        <f t="shared" si="0"/>
        <v>48-Ult</v>
      </c>
      <c r="K31" s="1005"/>
      <c r="L31" s="1005"/>
      <c r="M31" s="1005"/>
    </row>
    <row r="32" spans="1:13" ht="13.8" x14ac:dyDescent="0.25">
      <c r="A32" s="1005"/>
      <c r="B32" s="1005" t="s">
        <v>1249</v>
      </c>
      <c r="C32" s="1005">
        <f t="shared" ref="C32:H32" si="1">B17*D32</f>
        <v>7.354749110339287</v>
      </c>
      <c r="D32" s="1005">
        <f t="shared" si="1"/>
        <v>3.9330209146199393</v>
      </c>
      <c r="E32" s="1005">
        <f t="shared" si="1"/>
        <v>2.4128962666379996</v>
      </c>
      <c r="F32" s="1005">
        <f t="shared" si="1"/>
        <v>1.6873400465999999</v>
      </c>
      <c r="G32" s="1005">
        <f t="shared" si="1"/>
        <v>1.30801554</v>
      </c>
      <c r="H32" s="1005">
        <f t="shared" si="1"/>
        <v>1.1179620000000001</v>
      </c>
      <c r="I32" s="1005">
        <f>H17*J32</f>
        <v>1.03515</v>
      </c>
      <c r="J32" s="1059">
        <f>I17</f>
        <v>1.0049999999999999</v>
      </c>
      <c r="K32" s="1005"/>
      <c r="L32" s="1005"/>
      <c r="M32" s="1005"/>
    </row>
    <row r="33" spans="1:13" ht="13.8" x14ac:dyDescent="0.25">
      <c r="A33" s="1005"/>
      <c r="B33" s="1005" t="s">
        <v>1250</v>
      </c>
      <c r="C33" s="1005">
        <f>1/C32</f>
        <v>0.13596656867522547</v>
      </c>
      <c r="D33" s="1005">
        <f t="shared" ref="D33:J33" si="2">1/D32</f>
        <v>0.25425748342267163</v>
      </c>
      <c r="E33" s="1005">
        <f t="shared" si="2"/>
        <v>0.41443969797895475</v>
      </c>
      <c r="F33" s="1005">
        <f t="shared" si="2"/>
        <v>0.59264876810990519</v>
      </c>
      <c r="G33" s="1005">
        <f t="shared" si="2"/>
        <v>0.76451691086177764</v>
      </c>
      <c r="H33" s="1005">
        <f t="shared" si="2"/>
        <v>0.89448478570827983</v>
      </c>
      <c r="I33" s="1005">
        <f t="shared" si="2"/>
        <v>0.96604356856494222</v>
      </c>
      <c r="J33" s="1005">
        <f t="shared" si="2"/>
        <v>0.99502487562189068</v>
      </c>
      <c r="K33" s="1005"/>
      <c r="L33" s="1005"/>
      <c r="M33" s="1005"/>
    </row>
    <row r="34" spans="1:13" ht="13.8" x14ac:dyDescent="0.25">
      <c r="A34" s="1005"/>
      <c r="B34" s="1005"/>
      <c r="C34" s="1005"/>
      <c r="D34" s="1005"/>
      <c r="E34" s="1005"/>
      <c r="F34" s="1005"/>
      <c r="G34" s="1005"/>
      <c r="H34" s="1005"/>
      <c r="I34" s="1005"/>
      <c r="J34" s="1005"/>
      <c r="K34" s="1005"/>
      <c r="L34" s="1005"/>
      <c r="M34" s="1005"/>
    </row>
    <row r="35" spans="1:13" ht="13.8" x14ac:dyDescent="0.25">
      <c r="A35" s="1005"/>
      <c r="B35" s="1005"/>
      <c r="C35" s="1005" t="s">
        <v>417</v>
      </c>
      <c r="D35" s="1005" t="s">
        <v>901</v>
      </c>
      <c r="E35" s="1005"/>
      <c r="F35" s="1005"/>
      <c r="G35" s="1005"/>
      <c r="H35" s="1005"/>
      <c r="I35" s="1005"/>
      <c r="J35" s="1005"/>
      <c r="K35" s="1005"/>
      <c r="L35" s="1005"/>
      <c r="M35" s="1005"/>
    </row>
    <row r="36" spans="1:13" ht="14.4" thickBot="1" x14ac:dyDescent="0.3">
      <c r="A36" s="1005"/>
      <c r="B36" s="1005" t="str">
        <f>B9</f>
        <v>Year</v>
      </c>
      <c r="C36" s="1005" t="s">
        <v>1251</v>
      </c>
      <c r="D36" s="1005" t="s">
        <v>1251</v>
      </c>
      <c r="E36" s="1005" t="s">
        <v>922</v>
      </c>
      <c r="F36" s="1005"/>
      <c r="G36" s="1005"/>
      <c r="H36" s="1005"/>
      <c r="I36" s="1005"/>
      <c r="J36" s="1005"/>
      <c r="K36" s="1005"/>
      <c r="L36" s="1005"/>
      <c r="M36" s="1005"/>
    </row>
    <row r="37" spans="1:13" ht="13.8" x14ac:dyDescent="0.25">
      <c r="A37" s="1005"/>
      <c r="B37" s="1005">
        <f>B10</f>
        <v>2014</v>
      </c>
      <c r="C37" s="1062">
        <f>C10*(J33-I33)</f>
        <v>93.319808723374038</v>
      </c>
      <c r="D37" s="1060">
        <f>E10-D10</f>
        <v>-38</v>
      </c>
      <c r="E37" s="1063">
        <f>D37-C37</f>
        <v>-131.31980872337402</v>
      </c>
      <c r="F37" s="1005"/>
      <c r="G37" s="1005"/>
      <c r="H37" s="1005"/>
      <c r="I37" s="1005"/>
      <c r="J37" s="1005"/>
      <c r="K37" s="1005"/>
      <c r="L37" s="1005"/>
      <c r="M37" s="1005"/>
    </row>
    <row r="38" spans="1:13" ht="13.8" x14ac:dyDescent="0.25">
      <c r="A38" s="1005"/>
      <c r="B38" s="1005">
        <f>B11</f>
        <v>2015</v>
      </c>
      <c r="C38" s="1060">
        <f>C11*(H33-G33)</f>
        <v>549.63414272585771</v>
      </c>
      <c r="D38" s="1060">
        <f>E11-D11</f>
        <v>548</v>
      </c>
      <c r="E38" s="1064">
        <f t="shared" ref="E38:E40" si="3">D38-C38</f>
        <v>-1.6341427258577141</v>
      </c>
      <c r="F38" s="1005"/>
      <c r="G38" s="1005"/>
      <c r="H38" s="1005"/>
      <c r="I38" s="1005"/>
      <c r="J38" s="1005"/>
      <c r="K38" s="1005"/>
      <c r="L38" s="1005"/>
      <c r="M38" s="1005"/>
    </row>
    <row r="39" spans="1:13" ht="13.8" x14ac:dyDescent="0.25">
      <c r="A39" s="1005"/>
      <c r="B39" s="1005">
        <f>B12</f>
        <v>2016</v>
      </c>
      <c r="C39" s="1060">
        <f>C12*(F33-E33)</f>
        <v>863.4229447844549</v>
      </c>
      <c r="D39" s="1060">
        <f>E12-D12</f>
        <v>882</v>
      </c>
      <c r="E39" s="1064">
        <f t="shared" si="3"/>
        <v>18.577055215545101</v>
      </c>
      <c r="F39" s="1005"/>
      <c r="G39" s="1005"/>
      <c r="H39" s="1005"/>
      <c r="I39" s="1005"/>
      <c r="J39" s="1005"/>
      <c r="K39" s="1005"/>
      <c r="L39" s="1005"/>
      <c r="M39" s="1005"/>
    </row>
    <row r="40" spans="1:13" ht="14.4" thickBot="1" x14ac:dyDescent="0.3">
      <c r="A40" s="1005"/>
      <c r="B40" s="1005">
        <f>B13</f>
        <v>2017</v>
      </c>
      <c r="C40" s="1060">
        <f>C13*(D33-C33)</f>
        <v>603.40195612672289</v>
      </c>
      <c r="D40" s="1060">
        <f>E13-D13</f>
        <v>868</v>
      </c>
      <c r="E40" s="1065">
        <f t="shared" si="3"/>
        <v>264.59804387327711</v>
      </c>
      <c r="F40" s="1005"/>
      <c r="G40" s="1005"/>
      <c r="H40" s="1005"/>
      <c r="I40" s="1005"/>
      <c r="J40" s="1005"/>
      <c r="K40" s="1005"/>
      <c r="L40" s="1005"/>
      <c r="M40" s="1005"/>
    </row>
    <row r="41" spans="1:13" ht="13.8" x14ac:dyDescent="0.25">
      <c r="A41" s="1005"/>
      <c r="B41" s="1005"/>
      <c r="C41" s="1005"/>
      <c r="D41" s="1005"/>
      <c r="E41" s="1005"/>
      <c r="F41" s="1005"/>
      <c r="G41" s="1005"/>
      <c r="H41" s="1005"/>
      <c r="I41" s="1005"/>
      <c r="J41" s="1005"/>
      <c r="K41" s="1005"/>
      <c r="L41" s="1005"/>
      <c r="M41" s="1005"/>
    </row>
  </sheetData>
  <conditionalFormatting sqref="B1">
    <cfRule type="cellIs" dxfId="23" priority="1" operator="equal">
      <formula>"Review Later"</formula>
    </cfRule>
    <cfRule type="cellIs" dxfId="22" priority="2" operator="equal">
      <formula>"Finished"</formula>
    </cfRule>
    <cfRule type="cellIs" dxfId="21" priority="3" operator="equal">
      <formula>"Incomplete"</formula>
    </cfRule>
  </conditionalFormatting>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0" workbookViewId="0"/>
  </sheetViews>
  <sheetFormatPr defaultColWidth="0" defaultRowHeight="0" customHeight="1" zeroHeight="1" x14ac:dyDescent="0.25"/>
  <cols>
    <col min="1" max="1" width="11.6640625" style="656" customWidth="1"/>
    <col min="2" max="13" width="12.6640625" style="656" customWidth="1"/>
    <col min="14" max="52" width="9.109375" style="656" customWidth="1"/>
    <col min="53" max="55" width="0" style="656" hidden="1" customWidth="1"/>
    <col min="56" max="16384" width="9.109375" style="656" hidden="1"/>
  </cols>
  <sheetData>
    <row r="1" spans="1:52" ht="14.7" customHeight="1" thickBot="1" x14ac:dyDescent="0.3">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7" customHeight="1" x14ac:dyDescent="0.25">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7" customHeight="1" x14ac:dyDescent="0.25">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7" customHeight="1" x14ac:dyDescent="0.25">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7" customHeight="1" thickBot="1" x14ac:dyDescent="0.3">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7" customHeight="1" x14ac:dyDescent="0.25">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7" customHeight="1" thickBot="1" x14ac:dyDescent="0.3">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7" customHeight="1" x14ac:dyDescent="0.25">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7" customHeight="1" x14ac:dyDescent="0.25">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7" customHeight="1" x14ac:dyDescent="0.25">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7" customHeight="1" thickBot="1" x14ac:dyDescent="0.3">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7" customHeight="1" thickBot="1" x14ac:dyDescent="0.3">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7" customHeight="1" x14ac:dyDescent="0.25">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7" customHeight="1" thickBot="1" x14ac:dyDescent="0.3">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7" customHeight="1" x14ac:dyDescent="0.25">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7" customHeight="1" x14ac:dyDescent="0.25">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7" customHeight="1" x14ac:dyDescent="0.25">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7" customHeight="1" thickBot="1" x14ac:dyDescent="0.3">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7" customHeight="1" thickBot="1" x14ac:dyDescent="0.3">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7" customHeight="1" x14ac:dyDescent="0.25">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7" customHeight="1" x14ac:dyDescent="0.25">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7" customHeight="1" x14ac:dyDescent="0.25">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7" customHeight="1" x14ac:dyDescent="0.25">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7" customHeight="1" thickBot="1" x14ac:dyDescent="0.3">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7" customHeight="1" x14ac:dyDescent="0.25">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7" customHeight="1" x14ac:dyDescent="0.25">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7" customHeight="1" x14ac:dyDescent="0.25">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7" customHeight="1" thickBot="1" x14ac:dyDescent="0.3">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7" customHeight="1" x14ac:dyDescent="0.25">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7" customHeight="1" x14ac:dyDescent="0.25">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7" customHeight="1" x14ac:dyDescent="0.25">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7" customHeight="1" x14ac:dyDescent="0.25">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7" customHeight="1" x14ac:dyDescent="0.25">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7" customHeight="1" x14ac:dyDescent="0.25">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7" customHeight="1" x14ac:dyDescent="0.25">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5" customHeight="1" x14ac:dyDescent="0.25">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860"/>
      <c r="Y36" s="860"/>
      <c r="Z36" s="860"/>
      <c r="AA36" s="860"/>
      <c r="AB36" s="860"/>
      <c r="AC36" s="860"/>
      <c r="AD36" s="860"/>
      <c r="AE36" s="860"/>
      <c r="AF36" s="860"/>
      <c r="AG36" s="860"/>
      <c r="AH36" s="860"/>
      <c r="AI36" s="860"/>
      <c r="AJ36" s="860"/>
      <c r="AK36" s="860"/>
      <c r="AL36" s="860"/>
      <c r="AM36" s="860"/>
      <c r="AN36" s="860"/>
      <c r="AO36" s="860"/>
      <c r="AP36" s="860"/>
      <c r="AQ36" s="860"/>
      <c r="AR36" s="860"/>
      <c r="AS36" s="860"/>
      <c r="AT36" s="860"/>
      <c r="AU36" s="860"/>
      <c r="AV36" s="860"/>
      <c r="AW36" s="860"/>
      <c r="AX36" s="860"/>
      <c r="AY36" s="860"/>
      <c r="AZ36" s="860"/>
    </row>
    <row r="37" spans="1:52" ht="15" customHeight="1" x14ac:dyDescent="0.25">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row>
    <row r="38" spans="1:52" ht="15" customHeight="1" x14ac:dyDescent="0.25">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860"/>
      <c r="Y38" s="860"/>
      <c r="Z38" s="860"/>
      <c r="AA38" s="860"/>
      <c r="AB38" s="860"/>
      <c r="AC38" s="860"/>
      <c r="AD38" s="860"/>
      <c r="AE38" s="860"/>
      <c r="AF38" s="860"/>
      <c r="AG38" s="860"/>
      <c r="AH38" s="860"/>
      <c r="AI38" s="860"/>
      <c r="AJ38" s="860"/>
      <c r="AK38" s="860"/>
      <c r="AL38" s="860"/>
      <c r="AM38" s="860"/>
      <c r="AN38" s="860"/>
      <c r="AO38" s="860"/>
      <c r="AP38" s="860"/>
      <c r="AQ38" s="860"/>
      <c r="AR38" s="860"/>
      <c r="AS38" s="860"/>
      <c r="AT38" s="860"/>
      <c r="AU38" s="860"/>
      <c r="AV38" s="860"/>
      <c r="AW38" s="860"/>
      <c r="AX38" s="860"/>
      <c r="AY38" s="860"/>
      <c r="AZ38" s="860"/>
    </row>
    <row r="39" spans="1:52" ht="15" customHeight="1" x14ac:dyDescent="0.25">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860"/>
      <c r="Y39" s="860"/>
      <c r="Z39" s="860"/>
      <c r="AA39" s="860"/>
      <c r="AB39" s="860"/>
      <c r="AC39" s="860"/>
      <c r="AD39" s="860"/>
      <c r="AE39" s="860"/>
      <c r="AF39" s="860"/>
      <c r="AG39" s="860"/>
      <c r="AH39" s="860"/>
      <c r="AI39" s="860"/>
      <c r="AJ39" s="860"/>
      <c r="AK39" s="860"/>
      <c r="AL39" s="860"/>
      <c r="AM39" s="860"/>
      <c r="AN39" s="860"/>
      <c r="AO39" s="860"/>
      <c r="AP39" s="860"/>
      <c r="AQ39" s="860"/>
      <c r="AR39" s="860"/>
      <c r="AS39" s="860"/>
      <c r="AT39" s="860"/>
      <c r="AU39" s="860"/>
      <c r="AV39" s="860"/>
      <c r="AW39" s="860"/>
      <c r="AX39" s="860"/>
      <c r="AY39" s="860"/>
      <c r="AZ39" s="860"/>
    </row>
    <row r="40" spans="1:52" ht="15" customHeight="1" thickBot="1" x14ac:dyDescent="0.3">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860"/>
      <c r="Y40" s="860"/>
      <c r="Z40" s="860"/>
      <c r="AA40" s="860"/>
      <c r="AB40" s="860"/>
      <c r="AC40" s="860"/>
      <c r="AD40" s="860"/>
      <c r="AE40" s="860"/>
      <c r="AF40" s="860"/>
      <c r="AG40" s="860"/>
      <c r="AH40" s="860"/>
      <c r="AI40" s="860"/>
      <c r="AJ40" s="860"/>
      <c r="AK40" s="860"/>
      <c r="AL40" s="860"/>
      <c r="AM40" s="860"/>
      <c r="AN40" s="860"/>
      <c r="AO40" s="860"/>
      <c r="AP40" s="860"/>
      <c r="AQ40" s="860"/>
      <c r="AR40" s="860"/>
      <c r="AS40" s="860"/>
      <c r="AT40" s="860"/>
      <c r="AU40" s="860"/>
      <c r="AV40" s="860"/>
      <c r="AW40" s="860"/>
      <c r="AX40" s="860"/>
      <c r="AY40" s="860"/>
      <c r="AZ40" s="860"/>
    </row>
    <row r="41" spans="1:52" ht="15" customHeight="1" x14ac:dyDescent="0.25">
      <c r="A41" s="860"/>
      <c r="B41" s="860"/>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row>
    <row r="42" spans="1:52" ht="15" customHeight="1" x14ac:dyDescent="0.25">
      <c r="A42" s="860"/>
      <c r="B42" s="861" t="s">
        <v>445</v>
      </c>
      <c r="C42" s="860" t="s">
        <v>1110</v>
      </c>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I42" s="860"/>
      <c r="AJ42" s="860"/>
      <c r="AK42" s="860"/>
      <c r="AL42" s="860"/>
      <c r="AM42" s="860"/>
      <c r="AN42" s="860"/>
      <c r="AO42" s="860"/>
      <c r="AP42" s="860"/>
      <c r="AQ42" s="860"/>
      <c r="AR42" s="860"/>
      <c r="AS42" s="860"/>
      <c r="AT42" s="860"/>
      <c r="AU42" s="860"/>
      <c r="AV42" s="860"/>
      <c r="AW42" s="860"/>
      <c r="AX42" s="860"/>
      <c r="AY42" s="860"/>
      <c r="AZ42" s="860"/>
    </row>
    <row r="43" spans="1:52" ht="15" customHeight="1" x14ac:dyDescent="0.25">
      <c r="A43" s="860"/>
      <c r="B43" s="860"/>
      <c r="C43" s="866" t="s">
        <v>240</v>
      </c>
      <c r="D43" s="866" t="str">
        <f>C7&amp;" - "&amp;D7</f>
        <v>12 - 24</v>
      </c>
      <c r="E43" s="866" t="str">
        <f>D7&amp;" - "&amp;E7</f>
        <v>24 - 36</v>
      </c>
      <c r="F43" s="866" t="str">
        <f>E7&amp;" - "&amp;F7</f>
        <v>36 - 48</v>
      </c>
      <c r="G43" s="866" t="str">
        <f>F7&amp;" - Ult"</f>
        <v>48 - Ult</v>
      </c>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row>
    <row r="44" spans="1:52" ht="15" customHeight="1" x14ac:dyDescent="0.25">
      <c r="A44" s="860"/>
      <c r="B44" s="860"/>
      <c r="C44" s="866">
        <v>2014</v>
      </c>
      <c r="D44" s="869">
        <f t="shared" ref="D44:G47" si="0">IF(D8="", "", D8/C8)</f>
        <v>6</v>
      </c>
      <c r="E44" s="869">
        <f t="shared" si="0"/>
        <v>2</v>
      </c>
      <c r="F44" s="869">
        <f t="shared" si="0"/>
        <v>1.1000000000000001</v>
      </c>
      <c r="G44" s="869" t="str">
        <f t="shared" si="0"/>
        <v/>
      </c>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c r="AP44" s="860"/>
      <c r="AQ44" s="860"/>
      <c r="AR44" s="860"/>
      <c r="AS44" s="860"/>
      <c r="AT44" s="860"/>
      <c r="AU44" s="860"/>
      <c r="AV44" s="860"/>
      <c r="AW44" s="860"/>
      <c r="AX44" s="860"/>
      <c r="AY44" s="860"/>
      <c r="AZ44" s="860"/>
    </row>
    <row r="45" spans="1:52" ht="15" customHeight="1" x14ac:dyDescent="0.25">
      <c r="A45" s="860"/>
      <c r="B45" s="860"/>
      <c r="C45" s="866">
        <f>C44+1</f>
        <v>2015</v>
      </c>
      <c r="D45" s="869">
        <f t="shared" si="0"/>
        <v>6</v>
      </c>
      <c r="E45" s="869">
        <f t="shared" si="0"/>
        <v>2</v>
      </c>
      <c r="F45" s="869" t="str">
        <f t="shared" si="0"/>
        <v/>
      </c>
      <c r="G45" s="869" t="str">
        <f t="shared" si="0"/>
        <v/>
      </c>
      <c r="H45" s="860"/>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c r="AP45" s="860"/>
      <c r="AQ45" s="860"/>
      <c r="AR45" s="860"/>
      <c r="AS45" s="860"/>
      <c r="AT45" s="860"/>
      <c r="AU45" s="860"/>
      <c r="AV45" s="860"/>
      <c r="AW45" s="860"/>
      <c r="AX45" s="860"/>
      <c r="AY45" s="860"/>
      <c r="AZ45" s="860"/>
    </row>
    <row r="46" spans="1:52" ht="15" customHeight="1" x14ac:dyDescent="0.25">
      <c r="A46" s="860"/>
      <c r="B46" s="860"/>
      <c r="C46" s="866">
        <f>C45+1</f>
        <v>2016</v>
      </c>
      <c r="D46" s="869">
        <f t="shared" si="0"/>
        <v>6</v>
      </c>
      <c r="E46" s="869" t="str">
        <f t="shared" si="0"/>
        <v/>
      </c>
      <c r="F46" s="869" t="str">
        <f t="shared" si="0"/>
        <v/>
      </c>
      <c r="G46" s="869" t="str">
        <f t="shared" si="0"/>
        <v/>
      </c>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c r="AP46" s="860"/>
      <c r="AQ46" s="860"/>
      <c r="AR46" s="860"/>
      <c r="AS46" s="860"/>
      <c r="AT46" s="860"/>
      <c r="AU46" s="860"/>
      <c r="AV46" s="860"/>
      <c r="AW46" s="860"/>
      <c r="AX46" s="860"/>
      <c r="AY46" s="860"/>
      <c r="AZ46" s="860"/>
    </row>
    <row r="47" spans="1:52" ht="15" customHeight="1" x14ac:dyDescent="0.25">
      <c r="A47" s="860"/>
      <c r="B47" s="860"/>
      <c r="C47" s="866">
        <f>C46+1</f>
        <v>2017</v>
      </c>
      <c r="D47" s="869" t="str">
        <f t="shared" si="0"/>
        <v/>
      </c>
      <c r="E47" s="869" t="str">
        <f t="shared" si="0"/>
        <v/>
      </c>
      <c r="F47" s="869" t="str">
        <f t="shared" si="0"/>
        <v/>
      </c>
      <c r="G47" s="869" t="str">
        <f t="shared" si="0"/>
        <v/>
      </c>
      <c r="H47" s="860"/>
      <c r="I47" s="860"/>
      <c r="J47" s="860"/>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c r="AP47" s="860"/>
      <c r="AQ47" s="860"/>
      <c r="AR47" s="860"/>
      <c r="AS47" s="860"/>
      <c r="AT47" s="860"/>
      <c r="AU47" s="860"/>
      <c r="AV47" s="860"/>
      <c r="AW47" s="860"/>
      <c r="AX47" s="860"/>
      <c r="AY47" s="860"/>
      <c r="AZ47" s="860"/>
    </row>
    <row r="48" spans="1:52" ht="15" customHeight="1" x14ac:dyDescent="0.25">
      <c r="A48" s="860"/>
      <c r="B48" s="860"/>
      <c r="C48" s="866"/>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c r="AP48" s="860"/>
      <c r="AQ48" s="860"/>
      <c r="AR48" s="860"/>
      <c r="AS48" s="860"/>
      <c r="AT48" s="860"/>
      <c r="AU48" s="860"/>
      <c r="AV48" s="860"/>
      <c r="AW48" s="860"/>
      <c r="AX48" s="860"/>
      <c r="AY48" s="860"/>
      <c r="AZ48" s="860"/>
    </row>
    <row r="49" spans="1:52" ht="15" customHeight="1" x14ac:dyDescent="0.25">
      <c r="A49" s="860"/>
      <c r="B49" s="860"/>
      <c r="C49" s="870" t="s">
        <v>1107</v>
      </c>
      <c r="D49" s="869">
        <f>AVERAGE(D44:D48)</f>
        <v>6</v>
      </c>
      <c r="E49" s="869">
        <f>AVERAGE(E44:E48)</f>
        <v>2</v>
      </c>
      <c r="F49" s="869">
        <f>AVERAGE(F44:F48)</f>
        <v>1.1000000000000001</v>
      </c>
      <c r="G49" s="869"/>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c r="AP49" s="860"/>
      <c r="AQ49" s="860"/>
      <c r="AR49" s="860"/>
      <c r="AS49" s="860"/>
      <c r="AT49" s="860"/>
      <c r="AU49" s="860"/>
      <c r="AV49" s="860"/>
      <c r="AW49" s="860"/>
      <c r="AX49" s="860"/>
      <c r="AY49" s="860"/>
      <c r="AZ49" s="860"/>
    </row>
    <row r="50" spans="1:52" ht="15" customHeight="1" x14ac:dyDescent="0.25">
      <c r="A50" s="860"/>
      <c r="B50" s="860"/>
      <c r="C50" s="870" t="s">
        <v>318</v>
      </c>
      <c r="D50" s="869">
        <f>D49*E50</f>
        <v>13.200000000000001</v>
      </c>
      <c r="E50" s="869">
        <f>E49*F50</f>
        <v>2.2000000000000002</v>
      </c>
      <c r="F50" s="869">
        <f>F49*G50</f>
        <v>1.1000000000000001</v>
      </c>
      <c r="G50" s="869">
        <v>1</v>
      </c>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c r="AP50" s="860"/>
      <c r="AQ50" s="860"/>
      <c r="AR50" s="860"/>
      <c r="AS50" s="860"/>
      <c r="AT50" s="860"/>
      <c r="AU50" s="860"/>
      <c r="AV50" s="860"/>
      <c r="AW50" s="860"/>
      <c r="AX50" s="860"/>
      <c r="AY50" s="860"/>
      <c r="AZ50" s="860"/>
    </row>
    <row r="51" spans="1:52" ht="15" customHeight="1" x14ac:dyDescent="0.25">
      <c r="A51" s="86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c r="AP51" s="860"/>
      <c r="AQ51" s="860"/>
      <c r="AR51" s="860"/>
      <c r="AS51" s="860"/>
      <c r="AT51" s="860"/>
      <c r="AU51" s="860"/>
      <c r="AV51" s="860"/>
      <c r="AW51" s="860"/>
      <c r="AX51" s="860"/>
      <c r="AY51" s="860"/>
      <c r="AZ51" s="860"/>
    </row>
    <row r="52" spans="1:52" ht="15" customHeight="1" x14ac:dyDescent="0.25">
      <c r="A52" s="860"/>
      <c r="B52" s="860"/>
      <c r="C52" s="870" t="s">
        <v>1109</v>
      </c>
      <c r="D52" s="865">
        <f>C11*D50</f>
        <v>4488</v>
      </c>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row>
    <row r="53" spans="1:52" ht="15" customHeight="1" x14ac:dyDescent="0.25">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row>
    <row r="54" spans="1:52" ht="15" customHeight="1" x14ac:dyDescent="0.25">
      <c r="A54" s="860"/>
      <c r="B54" s="860"/>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c r="AP54" s="860"/>
      <c r="AQ54" s="860"/>
      <c r="AR54" s="860"/>
      <c r="AS54" s="860"/>
      <c r="AT54" s="860"/>
      <c r="AU54" s="860"/>
      <c r="AV54" s="860"/>
      <c r="AW54" s="860"/>
      <c r="AX54" s="860"/>
      <c r="AY54" s="860"/>
      <c r="AZ54" s="860"/>
    </row>
    <row r="55" spans="1:52" ht="15" customHeight="1" x14ac:dyDescent="0.25">
      <c r="A55" s="860"/>
      <c r="B55" s="861" t="s">
        <v>446</v>
      </c>
      <c r="C55" s="860" t="s">
        <v>1108</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0"/>
      <c r="AT55" s="860"/>
      <c r="AU55" s="860"/>
      <c r="AV55" s="860"/>
      <c r="AW55" s="860"/>
      <c r="AX55" s="860"/>
      <c r="AY55" s="860"/>
      <c r="AZ55" s="860"/>
    </row>
    <row r="56" spans="1:52" ht="15" customHeight="1" x14ac:dyDescent="0.25">
      <c r="A56" s="860"/>
      <c r="B56" s="860"/>
      <c r="C56" s="866" t="s">
        <v>240</v>
      </c>
      <c r="D56" s="866" t="str">
        <f>C14&amp;" - "&amp;D14</f>
        <v>12 - 24</v>
      </c>
      <c r="E56" s="866" t="str">
        <f>D14&amp;" - "&amp;E14</f>
        <v>24 - 36</v>
      </c>
      <c r="F56" s="866" t="str">
        <f>E14&amp;" - "&amp;F14</f>
        <v>36 - 48</v>
      </c>
      <c r="G56" s="866" t="str">
        <f>F14&amp;" - Ult"</f>
        <v>48 - Ult</v>
      </c>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c r="AP56" s="860"/>
      <c r="AQ56" s="860"/>
      <c r="AR56" s="860"/>
      <c r="AS56" s="860"/>
      <c r="AT56" s="860"/>
      <c r="AU56" s="860"/>
      <c r="AV56" s="860"/>
      <c r="AW56" s="860"/>
      <c r="AX56" s="860"/>
      <c r="AY56" s="860"/>
      <c r="AZ56" s="860"/>
    </row>
    <row r="57" spans="1:52" ht="15" customHeight="1" x14ac:dyDescent="0.25">
      <c r="A57" s="860"/>
      <c r="B57" s="860"/>
      <c r="C57" s="866">
        <v>2014</v>
      </c>
      <c r="D57" s="869">
        <f t="shared" ref="D57:G60" si="1">IF(D15="", "", D15-C15)</f>
        <v>0.04</v>
      </c>
      <c r="E57" s="869">
        <f t="shared" si="1"/>
        <v>2.0000000000000004E-2</v>
      </c>
      <c r="F57" s="869">
        <f t="shared" si="1"/>
        <v>0</v>
      </c>
      <c r="G57" s="869" t="str">
        <f t="shared" si="1"/>
        <v/>
      </c>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0"/>
      <c r="AK57" s="860"/>
      <c r="AL57" s="860"/>
      <c r="AM57" s="860"/>
      <c r="AN57" s="860"/>
      <c r="AO57" s="860"/>
      <c r="AP57" s="860"/>
      <c r="AQ57" s="860"/>
      <c r="AR57" s="860"/>
      <c r="AS57" s="860"/>
      <c r="AT57" s="860"/>
      <c r="AU57" s="860"/>
      <c r="AV57" s="860"/>
      <c r="AW57" s="860"/>
      <c r="AX57" s="860"/>
      <c r="AY57" s="860"/>
      <c r="AZ57" s="860"/>
    </row>
    <row r="58" spans="1:52" ht="15" customHeight="1" x14ac:dyDescent="0.25">
      <c r="A58" s="860"/>
      <c r="B58" s="860"/>
      <c r="C58" s="866">
        <f>C57+1</f>
        <v>2015</v>
      </c>
      <c r="D58" s="869">
        <f t="shared" si="1"/>
        <v>0.04</v>
      </c>
      <c r="E58" s="869">
        <f t="shared" si="1"/>
        <v>2.0000000000000004E-2</v>
      </c>
      <c r="F58" s="869" t="str">
        <f t="shared" si="1"/>
        <v/>
      </c>
      <c r="G58" s="869" t="str">
        <f t="shared" si="1"/>
        <v/>
      </c>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0"/>
      <c r="AO58" s="860"/>
      <c r="AP58" s="860"/>
      <c r="AQ58" s="860"/>
      <c r="AR58" s="860"/>
      <c r="AS58" s="860"/>
      <c r="AT58" s="860"/>
      <c r="AU58" s="860"/>
      <c r="AV58" s="860"/>
      <c r="AW58" s="860"/>
      <c r="AX58" s="860"/>
      <c r="AY58" s="860"/>
      <c r="AZ58" s="860"/>
    </row>
    <row r="59" spans="1:52" ht="15" customHeight="1" x14ac:dyDescent="0.25">
      <c r="A59" s="860"/>
      <c r="B59" s="860"/>
      <c r="C59" s="866">
        <f>C58+1</f>
        <v>2016</v>
      </c>
      <c r="D59" s="869">
        <f t="shared" si="1"/>
        <v>0.04</v>
      </c>
      <c r="E59" s="869" t="str">
        <f t="shared" si="1"/>
        <v/>
      </c>
      <c r="F59" s="869" t="str">
        <f t="shared" si="1"/>
        <v/>
      </c>
      <c r="G59" s="869" t="str">
        <f t="shared" si="1"/>
        <v/>
      </c>
      <c r="H59" s="860"/>
      <c r="I59" s="860"/>
      <c r="J59" s="860"/>
      <c r="K59" s="860"/>
      <c r="L59" s="860"/>
      <c r="M59" s="860"/>
      <c r="N59" s="860"/>
      <c r="O59" s="860"/>
      <c r="P59" s="860"/>
      <c r="Q59" s="860"/>
      <c r="R59" s="860"/>
      <c r="S59" s="860"/>
      <c r="T59" s="860"/>
      <c r="U59" s="860"/>
      <c r="V59" s="860"/>
      <c r="W59" s="860"/>
      <c r="X59" s="860"/>
      <c r="Y59" s="860"/>
      <c r="Z59" s="860"/>
      <c r="AA59" s="860"/>
      <c r="AB59" s="860"/>
      <c r="AC59" s="860"/>
      <c r="AD59" s="860"/>
      <c r="AE59" s="860"/>
      <c r="AF59" s="860"/>
      <c r="AG59" s="860"/>
      <c r="AH59" s="860"/>
      <c r="AI59" s="860"/>
      <c r="AJ59" s="860"/>
      <c r="AK59" s="860"/>
      <c r="AL59" s="860"/>
      <c r="AM59" s="860"/>
      <c r="AN59" s="860"/>
      <c r="AO59" s="860"/>
      <c r="AP59" s="860"/>
      <c r="AQ59" s="860"/>
      <c r="AR59" s="860"/>
      <c r="AS59" s="860"/>
      <c r="AT59" s="860"/>
      <c r="AU59" s="860"/>
      <c r="AV59" s="860"/>
      <c r="AW59" s="860"/>
      <c r="AX59" s="860"/>
      <c r="AY59" s="860"/>
      <c r="AZ59" s="860"/>
    </row>
    <row r="60" spans="1:52" ht="15" customHeight="1" x14ac:dyDescent="0.25">
      <c r="A60" s="860"/>
      <c r="B60" s="860"/>
      <c r="C60" s="866">
        <f>C59+1</f>
        <v>2017</v>
      </c>
      <c r="D60" s="869" t="str">
        <f t="shared" si="1"/>
        <v/>
      </c>
      <c r="E60" s="869" t="str">
        <f t="shared" si="1"/>
        <v/>
      </c>
      <c r="F60" s="869" t="str">
        <f t="shared" si="1"/>
        <v/>
      </c>
      <c r="G60" s="869" t="str">
        <f t="shared" si="1"/>
        <v/>
      </c>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c r="AP60" s="860"/>
      <c r="AQ60" s="860"/>
      <c r="AR60" s="860"/>
      <c r="AS60" s="860"/>
      <c r="AT60" s="860"/>
      <c r="AU60" s="860"/>
      <c r="AV60" s="860"/>
      <c r="AW60" s="860"/>
      <c r="AX60" s="860"/>
      <c r="AY60" s="860"/>
      <c r="AZ60" s="860"/>
    </row>
    <row r="61" spans="1:52" ht="15" customHeight="1" x14ac:dyDescent="0.25">
      <c r="A61" s="860"/>
      <c r="B61" s="860"/>
      <c r="C61" s="866"/>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0"/>
      <c r="AY61" s="860"/>
      <c r="AZ61" s="860"/>
    </row>
    <row r="62" spans="1:52" ht="15" customHeight="1" x14ac:dyDescent="0.25">
      <c r="A62" s="860"/>
      <c r="B62" s="860"/>
      <c r="C62" s="870" t="s">
        <v>1107</v>
      </c>
      <c r="D62" s="869">
        <f>AVERAGE(D57:D61)</f>
        <v>0.04</v>
      </c>
      <c r="E62" s="869">
        <f>AVERAGE(E57:E61)</f>
        <v>2.0000000000000004E-2</v>
      </c>
      <c r="F62" s="869">
        <f>AVERAGE(F57:F61)</f>
        <v>0</v>
      </c>
      <c r="G62" s="869"/>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c r="AP62" s="860"/>
      <c r="AQ62" s="860"/>
      <c r="AR62" s="860"/>
      <c r="AS62" s="860"/>
      <c r="AT62" s="860"/>
      <c r="AU62" s="860"/>
      <c r="AV62" s="860"/>
      <c r="AW62" s="860"/>
      <c r="AX62" s="860"/>
      <c r="AY62" s="860"/>
      <c r="AZ62" s="860"/>
    </row>
    <row r="63" spans="1:52" ht="15" customHeight="1" x14ac:dyDescent="0.25">
      <c r="A63" s="860"/>
      <c r="B63" s="860"/>
      <c r="C63" s="870" t="s">
        <v>318</v>
      </c>
      <c r="D63" s="869">
        <f>D62+E63</f>
        <v>6.0000000000000005E-2</v>
      </c>
      <c r="E63" s="869">
        <f>E62+F63</f>
        <v>2.0000000000000004E-2</v>
      </c>
      <c r="F63" s="869">
        <f>F62+G63</f>
        <v>0</v>
      </c>
      <c r="G63" s="869">
        <f>G62+H63</f>
        <v>0</v>
      </c>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0"/>
      <c r="AY63" s="860"/>
      <c r="AZ63" s="860"/>
    </row>
    <row r="64" spans="1:52" ht="15" customHeight="1" x14ac:dyDescent="0.25">
      <c r="A64" s="860"/>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60"/>
      <c r="AZ64" s="860"/>
    </row>
    <row r="65" spans="1:52" ht="15" customHeight="1" x14ac:dyDescent="0.25">
      <c r="A65" s="860"/>
      <c r="B65" s="860"/>
      <c r="C65" s="660"/>
      <c r="D65" s="868" t="s">
        <v>675</v>
      </c>
      <c r="E65" s="868" t="s">
        <v>1106</v>
      </c>
      <c r="F65" s="868" t="s">
        <v>1104</v>
      </c>
      <c r="G65" s="868" t="s">
        <v>675</v>
      </c>
      <c r="H65" s="868" t="s">
        <v>675</v>
      </c>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c r="AP65" s="860"/>
      <c r="AQ65" s="860"/>
      <c r="AR65" s="860"/>
      <c r="AS65" s="860"/>
      <c r="AT65" s="860"/>
      <c r="AU65" s="860"/>
      <c r="AV65" s="860"/>
      <c r="AW65" s="860"/>
      <c r="AX65" s="860"/>
      <c r="AY65" s="860"/>
      <c r="AZ65" s="860"/>
    </row>
    <row r="66" spans="1:52" ht="15" customHeight="1" x14ac:dyDescent="0.25">
      <c r="A66" s="860"/>
      <c r="B66" s="860"/>
      <c r="C66" s="867" t="s">
        <v>240</v>
      </c>
      <c r="D66" s="867" t="s">
        <v>572</v>
      </c>
      <c r="E66" s="867" t="s">
        <v>1105</v>
      </c>
      <c r="F66" s="867" t="s">
        <v>154</v>
      </c>
      <c r="G66" s="867" t="s">
        <v>1104</v>
      </c>
      <c r="H66" s="867" t="s">
        <v>1103</v>
      </c>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0"/>
      <c r="AY66" s="860"/>
      <c r="AZ66" s="860"/>
    </row>
    <row r="67" spans="1:52" ht="15" customHeight="1" x14ac:dyDescent="0.25">
      <c r="A67" s="860"/>
      <c r="B67" s="860"/>
      <c r="C67" s="866">
        <v>2014</v>
      </c>
      <c r="D67" s="865">
        <f>D25</f>
        <v>42240</v>
      </c>
      <c r="E67" s="864">
        <f>F15</f>
        <v>0.1</v>
      </c>
      <c r="F67" s="863">
        <f>G63</f>
        <v>0</v>
      </c>
      <c r="G67" s="863">
        <f>E67+F67</f>
        <v>0.1</v>
      </c>
      <c r="H67" s="862">
        <f>D67*G67</f>
        <v>4224</v>
      </c>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0"/>
      <c r="AT67" s="860"/>
      <c r="AU67" s="860"/>
      <c r="AV67" s="860"/>
      <c r="AW67" s="860"/>
      <c r="AX67" s="860"/>
      <c r="AY67" s="860"/>
      <c r="AZ67" s="860"/>
    </row>
    <row r="68" spans="1:52" ht="15" customHeight="1" x14ac:dyDescent="0.25">
      <c r="A68" s="860"/>
      <c r="B68" s="860"/>
      <c r="C68" s="866">
        <f>C67+1</f>
        <v>2015</v>
      </c>
      <c r="D68" s="865">
        <f>D26</f>
        <v>36960</v>
      </c>
      <c r="E68" s="864">
        <f>E16</f>
        <v>0.1</v>
      </c>
      <c r="F68" s="863">
        <f>F63</f>
        <v>0</v>
      </c>
      <c r="G68" s="863">
        <f>E68+F68</f>
        <v>0.1</v>
      </c>
      <c r="H68" s="862">
        <f>D68*G68</f>
        <v>3696</v>
      </c>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row>
    <row r="69" spans="1:52" ht="15" customHeight="1" x14ac:dyDescent="0.25">
      <c r="A69" s="860"/>
      <c r="B69" s="860"/>
      <c r="C69" s="866">
        <f>C68+1</f>
        <v>2016</v>
      </c>
      <c r="D69" s="865">
        <f>D27</f>
        <v>43560</v>
      </c>
      <c r="E69" s="864">
        <f>D17</f>
        <v>0.08</v>
      </c>
      <c r="F69" s="863">
        <f>E63</f>
        <v>2.0000000000000004E-2</v>
      </c>
      <c r="G69" s="863">
        <f>E69+F69</f>
        <v>0.1</v>
      </c>
      <c r="H69" s="862">
        <f>D69*G69</f>
        <v>4356</v>
      </c>
      <c r="I69" s="860"/>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860"/>
      <c r="AL69" s="860"/>
      <c r="AM69" s="860"/>
      <c r="AN69" s="860"/>
      <c r="AO69" s="860"/>
      <c r="AP69" s="860"/>
      <c r="AQ69" s="860"/>
      <c r="AR69" s="860"/>
      <c r="AS69" s="860"/>
      <c r="AT69" s="860"/>
      <c r="AU69" s="860"/>
      <c r="AV69" s="860"/>
      <c r="AW69" s="860"/>
      <c r="AX69" s="860"/>
      <c r="AY69" s="860"/>
      <c r="AZ69" s="860"/>
    </row>
    <row r="70" spans="1:52" ht="15" customHeight="1" x14ac:dyDescent="0.25">
      <c r="A70" s="860"/>
      <c r="B70" s="860"/>
      <c r="C70" s="866">
        <f>C69+1</f>
        <v>2017</v>
      </c>
      <c r="D70" s="865">
        <f>D28</f>
        <v>66440</v>
      </c>
      <c r="E70" s="864">
        <f>C18</f>
        <v>0.08</v>
      </c>
      <c r="F70" s="863">
        <f>D63</f>
        <v>6.0000000000000005E-2</v>
      </c>
      <c r="G70" s="863">
        <f>E70+F70</f>
        <v>0.14000000000000001</v>
      </c>
      <c r="H70" s="862">
        <f>D70*G70</f>
        <v>9301.6</v>
      </c>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c r="AP70" s="860"/>
      <c r="AQ70" s="860"/>
      <c r="AR70" s="860"/>
      <c r="AS70" s="860"/>
      <c r="AT70" s="860"/>
      <c r="AU70" s="860"/>
      <c r="AV70" s="860"/>
      <c r="AW70" s="860"/>
      <c r="AX70" s="860"/>
      <c r="AY70" s="860"/>
      <c r="AZ70" s="860"/>
    </row>
    <row r="71" spans="1:52" ht="15" customHeight="1" x14ac:dyDescent="0.25">
      <c r="A71" s="86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c r="AP71" s="860"/>
      <c r="AQ71" s="860"/>
      <c r="AR71" s="860"/>
      <c r="AS71" s="860"/>
      <c r="AT71" s="860"/>
      <c r="AU71" s="860"/>
      <c r="AV71" s="860"/>
      <c r="AW71" s="860"/>
      <c r="AX71" s="860"/>
      <c r="AY71" s="860"/>
      <c r="AZ71" s="860"/>
    </row>
    <row r="72" spans="1:52" ht="15" customHeight="1" x14ac:dyDescent="0.25">
      <c r="A72" s="860"/>
      <c r="B72" s="860"/>
      <c r="C72" s="860"/>
      <c r="D72" s="860"/>
      <c r="E72" s="860"/>
      <c r="F72" s="860"/>
      <c r="G72" s="860"/>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c r="AP72" s="860"/>
      <c r="AQ72" s="860"/>
      <c r="AR72" s="860"/>
      <c r="AS72" s="860"/>
      <c r="AT72" s="860"/>
      <c r="AU72" s="860"/>
      <c r="AV72" s="860"/>
      <c r="AW72" s="860"/>
      <c r="AX72" s="860"/>
      <c r="AY72" s="860"/>
      <c r="AZ72" s="860"/>
    </row>
    <row r="73" spans="1:52" ht="15" customHeight="1" x14ac:dyDescent="0.25">
      <c r="A73" s="860"/>
      <c r="B73" s="861" t="s">
        <v>479</v>
      </c>
      <c r="C73" s="860" t="s">
        <v>1102</v>
      </c>
      <c r="D73" s="860"/>
      <c r="E73" s="860"/>
      <c r="F73" s="860"/>
      <c r="G73" s="860"/>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c r="AP73" s="860"/>
      <c r="AQ73" s="860"/>
      <c r="AR73" s="860"/>
      <c r="AS73" s="860"/>
      <c r="AT73" s="860"/>
      <c r="AU73" s="860"/>
      <c r="AV73" s="860"/>
      <c r="AW73" s="860"/>
      <c r="AX73" s="860"/>
      <c r="AY73" s="860"/>
      <c r="AZ73" s="860"/>
    </row>
    <row r="74" spans="1:52" ht="15" customHeight="1" x14ac:dyDescent="0.25">
      <c r="A74" s="860"/>
      <c r="B74" s="860"/>
      <c r="C74" s="860" t="s">
        <v>1101</v>
      </c>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c r="AP74" s="860"/>
      <c r="AQ74" s="860"/>
      <c r="AR74" s="860"/>
      <c r="AS74" s="860"/>
      <c r="AT74" s="860"/>
      <c r="AU74" s="860"/>
      <c r="AV74" s="860"/>
      <c r="AW74" s="860"/>
      <c r="AX74" s="860"/>
      <c r="AY74" s="860"/>
      <c r="AZ74" s="860"/>
    </row>
    <row r="75" spans="1:52" ht="15" customHeight="1" x14ac:dyDescent="0.25">
      <c r="A75" s="860"/>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c r="AP75" s="860"/>
      <c r="AQ75" s="860"/>
      <c r="AR75" s="860"/>
      <c r="AS75" s="860"/>
      <c r="AT75" s="860"/>
      <c r="AU75" s="860"/>
      <c r="AV75" s="860"/>
      <c r="AW75" s="860"/>
      <c r="AX75" s="860"/>
      <c r="AY75" s="860"/>
      <c r="AZ75" s="860"/>
    </row>
    <row r="76" spans="1:52" ht="15" customHeight="1" x14ac:dyDescent="0.25">
      <c r="A76" s="86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c r="AP76" s="860"/>
      <c r="AQ76" s="860"/>
      <c r="AR76" s="860"/>
      <c r="AS76" s="860"/>
      <c r="AT76" s="860"/>
      <c r="AU76" s="860"/>
      <c r="AV76" s="860"/>
      <c r="AW76" s="860"/>
      <c r="AX76" s="860"/>
      <c r="AY76" s="860"/>
      <c r="AZ76" s="860"/>
    </row>
    <row r="77" spans="1:52" ht="15" customHeight="1" x14ac:dyDescent="0.25">
      <c r="A77" s="860"/>
      <c r="B77" s="860"/>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60"/>
      <c r="AZ77" s="860"/>
    </row>
    <row r="78" spans="1:52" ht="15" customHeight="1" x14ac:dyDescent="0.25">
      <c r="A78" s="860"/>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60"/>
      <c r="AZ78" s="860"/>
    </row>
    <row r="79" spans="1:52" ht="15" customHeight="1" x14ac:dyDescent="0.25">
      <c r="A79" s="860"/>
      <c r="B79" s="860"/>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row>
    <row r="80" spans="1:52" ht="15" customHeight="1" x14ac:dyDescent="0.25">
      <c r="A80" s="860"/>
      <c r="B80" s="860"/>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row>
    <row r="81" spans="1:52" ht="15" customHeight="1" x14ac:dyDescent="0.25">
      <c r="A81" s="86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c r="AP81" s="860"/>
      <c r="AQ81" s="860"/>
      <c r="AR81" s="860"/>
      <c r="AS81" s="860"/>
      <c r="AT81" s="860"/>
      <c r="AU81" s="860"/>
      <c r="AV81" s="860"/>
      <c r="AW81" s="860"/>
      <c r="AX81" s="860"/>
      <c r="AY81" s="860"/>
      <c r="AZ81" s="860"/>
    </row>
    <row r="82" spans="1:52" ht="15" customHeight="1" x14ac:dyDescent="0.25">
      <c r="A82" s="860"/>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60"/>
      <c r="AZ82" s="860"/>
    </row>
    <row r="83" spans="1:52" ht="15" customHeight="1" x14ac:dyDescent="0.25">
      <c r="A83" s="860"/>
      <c r="B83" s="860"/>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c r="AP83" s="860"/>
      <c r="AQ83" s="860"/>
      <c r="AR83" s="860"/>
      <c r="AS83" s="860"/>
      <c r="AT83" s="860"/>
      <c r="AU83" s="860"/>
      <c r="AV83" s="860"/>
      <c r="AW83" s="860"/>
      <c r="AX83" s="860"/>
      <c r="AY83" s="860"/>
      <c r="AZ83" s="860"/>
    </row>
    <row r="84" spans="1:52" ht="15" customHeight="1" x14ac:dyDescent="0.25">
      <c r="A84" s="860"/>
      <c r="B84" s="860"/>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c r="AP84" s="860"/>
      <c r="AQ84" s="860"/>
      <c r="AR84" s="860"/>
      <c r="AS84" s="860"/>
      <c r="AT84" s="860"/>
      <c r="AU84" s="860"/>
      <c r="AV84" s="860"/>
      <c r="AW84" s="860"/>
      <c r="AX84" s="860"/>
      <c r="AY84" s="860"/>
      <c r="AZ84" s="860"/>
    </row>
    <row r="85" spans="1:52" ht="15" customHeight="1" x14ac:dyDescent="0.25">
      <c r="A85" s="860"/>
      <c r="B85" s="860"/>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c r="AP85" s="860"/>
      <c r="AQ85" s="860"/>
      <c r="AR85" s="860"/>
      <c r="AS85" s="860"/>
      <c r="AT85" s="860"/>
      <c r="AU85" s="860"/>
      <c r="AV85" s="860"/>
      <c r="AW85" s="860"/>
      <c r="AX85" s="860"/>
      <c r="AY85" s="860"/>
      <c r="AZ85" s="860"/>
    </row>
    <row r="86" spans="1:52" ht="15" customHeight="1" x14ac:dyDescent="0.25">
      <c r="A86" s="86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c r="AP86" s="860"/>
      <c r="AQ86" s="860"/>
      <c r="AR86" s="860"/>
      <c r="AS86" s="860"/>
      <c r="AT86" s="860"/>
      <c r="AU86" s="860"/>
      <c r="AV86" s="860"/>
      <c r="AW86" s="860"/>
      <c r="AX86" s="860"/>
      <c r="AY86" s="860"/>
      <c r="AZ86" s="860"/>
    </row>
    <row r="87" spans="1:52" ht="15" customHeight="1" x14ac:dyDescent="0.25">
      <c r="A87" s="860"/>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c r="AP87" s="860"/>
      <c r="AQ87" s="860"/>
      <c r="AR87" s="860"/>
      <c r="AS87" s="860"/>
      <c r="AT87" s="860"/>
      <c r="AU87" s="860"/>
      <c r="AV87" s="860"/>
      <c r="AW87" s="860"/>
      <c r="AX87" s="860"/>
      <c r="AY87" s="860"/>
      <c r="AZ87" s="860"/>
    </row>
    <row r="88" spans="1:52" ht="15" customHeight="1" x14ac:dyDescent="0.25">
      <c r="A88" s="860"/>
      <c r="B88" s="860"/>
      <c r="C88" s="860"/>
      <c r="D88" s="860"/>
      <c r="E88" s="860"/>
      <c r="F88" s="860"/>
      <c r="G88" s="860"/>
      <c r="H88" s="860"/>
      <c r="I88" s="860"/>
      <c r="J88" s="860"/>
      <c r="K88" s="860"/>
      <c r="L88" s="860"/>
      <c r="M88" s="860"/>
      <c r="N88" s="860"/>
      <c r="O88" s="860"/>
      <c r="P88" s="860"/>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c r="AP88" s="860"/>
      <c r="AQ88" s="860"/>
      <c r="AR88" s="860"/>
      <c r="AS88" s="860"/>
      <c r="AT88" s="860"/>
      <c r="AU88" s="860"/>
      <c r="AV88" s="860"/>
      <c r="AW88" s="860"/>
      <c r="AX88" s="860"/>
      <c r="AY88" s="860"/>
      <c r="AZ88" s="860"/>
    </row>
    <row r="89" spans="1:52" ht="15" customHeight="1" x14ac:dyDescent="0.25">
      <c r="A89" s="860"/>
      <c r="B89" s="860"/>
      <c r="C89" s="860"/>
      <c r="D89" s="860"/>
      <c r="E89" s="860"/>
      <c r="F89" s="860"/>
      <c r="G89" s="860"/>
      <c r="H89" s="860"/>
      <c r="I89" s="860"/>
      <c r="J89" s="860"/>
      <c r="K89" s="860"/>
      <c r="L89" s="860"/>
      <c r="M89" s="860"/>
      <c r="N89" s="860"/>
      <c r="O89" s="860"/>
      <c r="P89" s="860"/>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c r="AP89" s="860"/>
      <c r="AQ89" s="860"/>
      <c r="AR89" s="860"/>
      <c r="AS89" s="860"/>
      <c r="AT89" s="860"/>
      <c r="AU89" s="860"/>
      <c r="AV89" s="860"/>
      <c r="AW89" s="860"/>
      <c r="AX89" s="860"/>
      <c r="AY89" s="860"/>
      <c r="AZ89" s="860"/>
    </row>
    <row r="90" spans="1:52" ht="15" customHeight="1" x14ac:dyDescent="0.25">
      <c r="A90" s="860"/>
      <c r="B90" s="860"/>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c r="AP90" s="860"/>
      <c r="AQ90" s="860"/>
      <c r="AR90" s="860"/>
      <c r="AS90" s="860"/>
      <c r="AT90" s="860"/>
      <c r="AU90" s="860"/>
      <c r="AV90" s="860"/>
      <c r="AW90" s="860"/>
      <c r="AX90" s="860"/>
      <c r="AY90" s="860"/>
      <c r="AZ90" s="860"/>
    </row>
    <row r="91" spans="1:52" ht="15" customHeight="1" x14ac:dyDescent="0.25">
      <c r="A91" s="86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c r="AP91" s="860"/>
      <c r="AQ91" s="860"/>
      <c r="AR91" s="860"/>
      <c r="AS91" s="860"/>
      <c r="AT91" s="860"/>
      <c r="AU91" s="860"/>
      <c r="AV91" s="860"/>
      <c r="AW91" s="860"/>
      <c r="AX91" s="860"/>
      <c r="AY91" s="860"/>
      <c r="AZ91" s="860"/>
    </row>
    <row r="92" spans="1:52" ht="15" customHeight="1" x14ac:dyDescent="0.25">
      <c r="A92" s="860"/>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0"/>
      <c r="AV92" s="860"/>
      <c r="AW92" s="860"/>
      <c r="AX92" s="860"/>
      <c r="AY92" s="860"/>
      <c r="AZ92" s="860"/>
    </row>
    <row r="93" spans="1:52" ht="15" customHeight="1" x14ac:dyDescent="0.25">
      <c r="A93" s="860"/>
      <c r="B93" s="860"/>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c r="AP93" s="860"/>
      <c r="AQ93" s="860"/>
      <c r="AR93" s="860"/>
      <c r="AS93" s="860"/>
      <c r="AT93" s="860"/>
      <c r="AU93" s="860"/>
      <c r="AV93" s="860"/>
      <c r="AW93" s="860"/>
      <c r="AX93" s="860"/>
      <c r="AY93" s="860"/>
      <c r="AZ93" s="860"/>
    </row>
    <row r="94" spans="1:52" ht="15" customHeight="1" x14ac:dyDescent="0.25">
      <c r="A94" s="860"/>
      <c r="B94" s="860"/>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c r="AP94" s="860"/>
      <c r="AQ94" s="860"/>
      <c r="AR94" s="860"/>
      <c r="AS94" s="860"/>
      <c r="AT94" s="860"/>
      <c r="AU94" s="860"/>
      <c r="AV94" s="860"/>
      <c r="AW94" s="860"/>
      <c r="AX94" s="860"/>
      <c r="AY94" s="860"/>
      <c r="AZ94" s="860"/>
    </row>
    <row r="95" spans="1:52" ht="15" customHeight="1" x14ac:dyDescent="0.25">
      <c r="A95" s="860"/>
      <c r="B95" s="860"/>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c r="AP95" s="860"/>
      <c r="AQ95" s="860"/>
      <c r="AR95" s="860"/>
      <c r="AS95" s="860"/>
      <c r="AT95" s="860"/>
      <c r="AU95" s="860"/>
      <c r="AV95" s="860"/>
      <c r="AW95" s="860"/>
      <c r="AX95" s="860"/>
      <c r="AY95" s="860"/>
      <c r="AZ95" s="860"/>
    </row>
    <row r="96" spans="1:52" ht="15" customHeight="1" x14ac:dyDescent="0.25">
      <c r="A96" s="860"/>
      <c r="B96" s="860"/>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c r="AP96" s="860"/>
      <c r="AQ96" s="860"/>
      <c r="AR96" s="860"/>
      <c r="AS96" s="860"/>
      <c r="AT96" s="860"/>
      <c r="AU96" s="860"/>
      <c r="AV96" s="860"/>
      <c r="AW96" s="860"/>
      <c r="AX96" s="860"/>
      <c r="AY96" s="860"/>
      <c r="AZ96" s="860"/>
    </row>
    <row r="97" spans="1:52" ht="15" customHeight="1" x14ac:dyDescent="0.25">
      <c r="A97" s="860"/>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c r="AP97" s="860"/>
      <c r="AQ97" s="860"/>
      <c r="AR97" s="860"/>
      <c r="AS97" s="860"/>
      <c r="AT97" s="860"/>
      <c r="AU97" s="860"/>
      <c r="AV97" s="860"/>
      <c r="AW97" s="860"/>
      <c r="AX97" s="860"/>
      <c r="AY97" s="860"/>
      <c r="AZ97" s="860"/>
    </row>
    <row r="98" spans="1:52" ht="15" customHeight="1" x14ac:dyDescent="0.25">
      <c r="A98" s="860"/>
      <c r="B98" s="860"/>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c r="AP98" s="860"/>
      <c r="AQ98" s="860"/>
      <c r="AR98" s="860"/>
      <c r="AS98" s="860"/>
      <c r="AT98" s="860"/>
      <c r="AU98" s="860"/>
      <c r="AV98" s="860"/>
      <c r="AW98" s="860"/>
      <c r="AX98" s="860"/>
      <c r="AY98" s="860"/>
      <c r="AZ98" s="860"/>
    </row>
    <row r="99" spans="1:52" ht="15" customHeight="1" x14ac:dyDescent="0.25">
      <c r="A99" s="860"/>
      <c r="B99" s="860"/>
      <c r="C99" s="860"/>
      <c r="D99" s="860"/>
      <c r="E99" s="860"/>
      <c r="F99" s="860"/>
      <c r="G99" s="860"/>
      <c r="H99" s="860"/>
      <c r="I99" s="860"/>
      <c r="J99" s="860"/>
      <c r="K99" s="860"/>
      <c r="L99" s="860"/>
      <c r="M99" s="860"/>
      <c r="N99" s="860"/>
      <c r="O99" s="860"/>
      <c r="P99" s="860"/>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c r="AP99" s="860"/>
      <c r="AQ99" s="860"/>
      <c r="AR99" s="860"/>
      <c r="AS99" s="860"/>
      <c r="AT99" s="860"/>
      <c r="AU99" s="860"/>
      <c r="AV99" s="860"/>
      <c r="AW99" s="860"/>
      <c r="AX99" s="860"/>
      <c r="AY99" s="860"/>
      <c r="AZ99" s="860"/>
    </row>
    <row r="100" spans="1:52" ht="15" customHeight="1" x14ac:dyDescent="0.25">
      <c r="A100" s="860"/>
      <c r="B100" s="860"/>
      <c r="C100" s="860"/>
      <c r="D100" s="860"/>
      <c r="E100" s="860"/>
      <c r="F100" s="860"/>
      <c r="G100" s="860"/>
      <c r="H100" s="860"/>
      <c r="I100" s="860"/>
      <c r="J100" s="860"/>
      <c r="K100" s="860"/>
      <c r="L100" s="860"/>
      <c r="M100" s="860"/>
      <c r="N100" s="860"/>
      <c r="O100" s="860"/>
      <c r="P100" s="860"/>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c r="AP100" s="860"/>
      <c r="AQ100" s="860"/>
      <c r="AR100" s="860"/>
      <c r="AS100" s="860"/>
      <c r="AT100" s="860"/>
      <c r="AU100" s="860"/>
      <c r="AV100" s="860"/>
      <c r="AW100" s="860"/>
      <c r="AX100" s="860"/>
      <c r="AY100" s="860"/>
      <c r="AZ100" s="860"/>
    </row>
    <row r="101" spans="1:52" ht="15" customHeight="1" x14ac:dyDescent="0.25">
      <c r="A101" s="860"/>
      <c r="B101" s="860"/>
      <c r="C101" s="860"/>
      <c r="D101" s="860"/>
      <c r="E101" s="860"/>
      <c r="F101" s="860"/>
      <c r="G101" s="860"/>
      <c r="H101" s="860"/>
      <c r="I101" s="860"/>
      <c r="J101" s="860"/>
      <c r="K101" s="860"/>
      <c r="L101" s="860"/>
      <c r="M101" s="860"/>
      <c r="N101" s="860"/>
      <c r="O101" s="860"/>
      <c r="P101" s="860"/>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c r="AP101" s="860"/>
      <c r="AQ101" s="860"/>
      <c r="AR101" s="860"/>
      <c r="AS101" s="860"/>
      <c r="AT101" s="860"/>
      <c r="AU101" s="860"/>
      <c r="AV101" s="860"/>
      <c r="AW101" s="860"/>
      <c r="AX101" s="860"/>
      <c r="AY101" s="860"/>
      <c r="AZ101" s="860"/>
    </row>
    <row r="102" spans="1:52" ht="15" customHeight="1" x14ac:dyDescent="0.25">
      <c r="A102" s="860"/>
      <c r="B102" s="860"/>
      <c r="C102" s="860"/>
      <c r="D102" s="860"/>
      <c r="E102" s="860"/>
      <c r="F102" s="860"/>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860"/>
      <c r="AM102" s="860"/>
      <c r="AN102" s="860"/>
      <c r="AO102" s="860"/>
      <c r="AP102" s="860"/>
      <c r="AQ102" s="860"/>
      <c r="AR102" s="860"/>
      <c r="AS102" s="860"/>
      <c r="AT102" s="860"/>
      <c r="AU102" s="860"/>
      <c r="AV102" s="860"/>
      <c r="AW102" s="860"/>
      <c r="AX102" s="860"/>
      <c r="AY102" s="860"/>
      <c r="AZ102" s="860"/>
    </row>
    <row r="103" spans="1:52" ht="15" customHeight="1" x14ac:dyDescent="0.25">
      <c r="A103" s="860"/>
      <c r="B103" s="860"/>
      <c r="C103" s="860"/>
      <c r="D103" s="860"/>
      <c r="E103" s="860"/>
      <c r="F103" s="860"/>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c r="AO103" s="860"/>
      <c r="AP103" s="860"/>
      <c r="AQ103" s="860"/>
      <c r="AR103" s="860"/>
      <c r="AS103" s="860"/>
      <c r="AT103" s="860"/>
      <c r="AU103" s="860"/>
      <c r="AV103" s="860"/>
      <c r="AW103" s="860"/>
      <c r="AX103" s="860"/>
      <c r="AY103" s="860"/>
      <c r="AZ103" s="860"/>
    </row>
    <row r="104" spans="1:52" ht="15" customHeight="1" x14ac:dyDescent="0.25">
      <c r="A104" s="860"/>
      <c r="B104" s="860"/>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c r="AP104" s="860"/>
      <c r="AQ104" s="860"/>
      <c r="AR104" s="860"/>
      <c r="AS104" s="860"/>
      <c r="AT104" s="860"/>
      <c r="AU104" s="860"/>
      <c r="AV104" s="860"/>
      <c r="AW104" s="860"/>
      <c r="AX104" s="860"/>
      <c r="AY104" s="860"/>
      <c r="AZ104" s="860"/>
    </row>
    <row r="105" spans="1:52" ht="15" customHeight="1" x14ac:dyDescent="0.25">
      <c r="A105" s="860"/>
      <c r="B105" s="860"/>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c r="AP105" s="860"/>
      <c r="AQ105" s="860"/>
      <c r="AR105" s="860"/>
      <c r="AS105" s="860"/>
      <c r="AT105" s="860"/>
      <c r="AU105" s="860"/>
      <c r="AV105" s="860"/>
      <c r="AW105" s="860"/>
      <c r="AX105" s="860"/>
      <c r="AY105" s="860"/>
      <c r="AZ105" s="860"/>
    </row>
    <row r="106" spans="1:52" ht="15" customHeight="1" x14ac:dyDescent="0.25">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c r="AP106" s="860"/>
      <c r="AQ106" s="860"/>
      <c r="AR106" s="860"/>
      <c r="AS106" s="860"/>
      <c r="AT106" s="860"/>
      <c r="AU106" s="860"/>
      <c r="AV106" s="860"/>
      <c r="AW106" s="860"/>
      <c r="AX106" s="860"/>
      <c r="AY106" s="860"/>
      <c r="AZ106" s="860"/>
    </row>
    <row r="107" spans="1:52" ht="15" customHeight="1" x14ac:dyDescent="0.25">
      <c r="A107" s="860"/>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c r="AP107" s="860"/>
      <c r="AQ107" s="860"/>
      <c r="AR107" s="860"/>
      <c r="AS107" s="860"/>
      <c r="AT107" s="860"/>
      <c r="AU107" s="860"/>
      <c r="AV107" s="860"/>
      <c r="AW107" s="860"/>
      <c r="AX107" s="860"/>
      <c r="AY107" s="860"/>
      <c r="AZ107" s="860"/>
    </row>
    <row r="108" spans="1:52" ht="15" customHeight="1" x14ac:dyDescent="0.25">
      <c r="A108" s="860"/>
      <c r="B108" s="860"/>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c r="AP108" s="860"/>
      <c r="AQ108" s="860"/>
      <c r="AR108" s="860"/>
      <c r="AS108" s="860"/>
      <c r="AT108" s="860"/>
      <c r="AU108" s="860"/>
      <c r="AV108" s="860"/>
      <c r="AW108" s="860"/>
      <c r="AX108" s="860"/>
      <c r="AY108" s="860"/>
      <c r="AZ108" s="860"/>
    </row>
    <row r="109" spans="1:52" ht="15" customHeight="1" x14ac:dyDescent="0.25">
      <c r="A109" s="860"/>
      <c r="B109" s="860"/>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c r="AP109" s="860"/>
      <c r="AQ109" s="860"/>
      <c r="AR109" s="860"/>
      <c r="AS109" s="860"/>
      <c r="AT109" s="860"/>
      <c r="AU109" s="860"/>
      <c r="AV109" s="860"/>
      <c r="AW109" s="860"/>
      <c r="AX109" s="860"/>
      <c r="AY109" s="860"/>
      <c r="AZ109" s="860"/>
    </row>
    <row r="110" spans="1:52" ht="15" customHeight="1" x14ac:dyDescent="0.25">
      <c r="A110" s="860"/>
      <c r="B110" s="860"/>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c r="AP110" s="860"/>
      <c r="AQ110" s="860"/>
      <c r="AR110" s="860"/>
      <c r="AS110" s="860"/>
      <c r="AT110" s="860"/>
      <c r="AU110" s="860"/>
      <c r="AV110" s="860"/>
      <c r="AW110" s="860"/>
      <c r="AX110" s="860"/>
      <c r="AY110" s="860"/>
      <c r="AZ110" s="860"/>
    </row>
    <row r="111" spans="1:52" ht="15" customHeight="1" x14ac:dyDescent="0.25">
      <c r="A111" s="860"/>
      <c r="B111" s="860"/>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c r="AP111" s="860"/>
      <c r="AQ111" s="860"/>
      <c r="AR111" s="860"/>
      <c r="AS111" s="860"/>
      <c r="AT111" s="860"/>
      <c r="AU111" s="860"/>
      <c r="AV111" s="860"/>
      <c r="AW111" s="860"/>
      <c r="AX111" s="860"/>
      <c r="AY111" s="860"/>
      <c r="AZ111" s="860"/>
    </row>
    <row r="112" spans="1:52" ht="15" customHeight="1" x14ac:dyDescent="0.25">
      <c r="A112" s="860"/>
      <c r="B112" s="860"/>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c r="AP112" s="860"/>
      <c r="AQ112" s="860"/>
      <c r="AR112" s="860"/>
      <c r="AS112" s="860"/>
      <c r="AT112" s="860"/>
      <c r="AU112" s="860"/>
      <c r="AV112" s="860"/>
      <c r="AW112" s="860"/>
      <c r="AX112" s="860"/>
      <c r="AY112" s="860"/>
      <c r="AZ112" s="860"/>
    </row>
    <row r="113" spans="1:52" ht="15" customHeight="1" x14ac:dyDescent="0.25">
      <c r="A113" s="860"/>
      <c r="B113" s="860"/>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c r="AP113" s="860"/>
      <c r="AQ113" s="860"/>
      <c r="AR113" s="860"/>
      <c r="AS113" s="860"/>
      <c r="AT113" s="860"/>
      <c r="AU113" s="860"/>
      <c r="AV113" s="860"/>
      <c r="AW113" s="860"/>
      <c r="AX113" s="860"/>
      <c r="AY113" s="860"/>
      <c r="AZ113" s="860"/>
    </row>
    <row r="114" spans="1:52" ht="15" customHeight="1" x14ac:dyDescent="0.25">
      <c r="A114" s="860"/>
      <c r="B114" s="860"/>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c r="AP114" s="860"/>
      <c r="AQ114" s="860"/>
      <c r="AR114" s="860"/>
      <c r="AS114" s="860"/>
      <c r="AT114" s="860"/>
      <c r="AU114" s="860"/>
      <c r="AV114" s="860"/>
      <c r="AW114" s="860"/>
      <c r="AX114" s="860"/>
      <c r="AY114" s="860"/>
      <c r="AZ114" s="860"/>
    </row>
    <row r="115" spans="1:52" ht="15" customHeight="1" x14ac:dyDescent="0.25">
      <c r="A115" s="860"/>
      <c r="B115" s="860"/>
      <c r="C115" s="860"/>
      <c r="D115" s="860"/>
      <c r="E115" s="860"/>
      <c r="F115" s="860"/>
      <c r="G115" s="860"/>
      <c r="H115" s="860"/>
      <c r="I115" s="860"/>
      <c r="J115" s="860"/>
      <c r="K115" s="860"/>
      <c r="L115" s="860"/>
      <c r="M115" s="860"/>
      <c r="N115" s="860"/>
      <c r="O115" s="860"/>
      <c r="P115" s="860"/>
      <c r="Q115" s="860"/>
      <c r="R115" s="860"/>
      <c r="S115" s="860"/>
      <c r="T115" s="860"/>
      <c r="U115" s="860"/>
      <c r="V115" s="860"/>
      <c r="W115" s="860"/>
      <c r="X115" s="860"/>
      <c r="Y115" s="860"/>
      <c r="Z115" s="860"/>
      <c r="AA115" s="860"/>
      <c r="AB115" s="860"/>
      <c r="AC115" s="860"/>
      <c r="AD115" s="860"/>
      <c r="AE115" s="860"/>
      <c r="AF115" s="860"/>
      <c r="AG115" s="860"/>
      <c r="AH115" s="860"/>
      <c r="AI115" s="860"/>
      <c r="AJ115" s="860"/>
      <c r="AK115" s="860"/>
      <c r="AL115" s="860"/>
      <c r="AM115" s="860"/>
      <c r="AN115" s="860"/>
      <c r="AO115" s="860"/>
      <c r="AP115" s="860"/>
      <c r="AQ115" s="860"/>
      <c r="AR115" s="860"/>
      <c r="AS115" s="860"/>
      <c r="AT115" s="860"/>
      <c r="AU115" s="860"/>
      <c r="AV115" s="860"/>
      <c r="AW115" s="860"/>
      <c r="AX115" s="860"/>
      <c r="AY115" s="860"/>
      <c r="AZ115" s="860"/>
    </row>
    <row r="116" spans="1:52" ht="15" customHeight="1" x14ac:dyDescent="0.25">
      <c r="A116" s="860"/>
      <c r="B116" s="860"/>
      <c r="C116" s="860"/>
      <c r="D116" s="860"/>
      <c r="E116" s="860"/>
      <c r="F116" s="860"/>
      <c r="G116" s="860"/>
      <c r="H116" s="860"/>
      <c r="I116" s="860"/>
      <c r="J116" s="860"/>
      <c r="K116" s="860"/>
      <c r="L116" s="860"/>
      <c r="M116" s="860"/>
      <c r="N116" s="860"/>
      <c r="O116" s="860"/>
      <c r="P116" s="860"/>
      <c r="Q116" s="860"/>
      <c r="R116" s="860"/>
      <c r="S116" s="860"/>
      <c r="T116" s="860"/>
      <c r="U116" s="860"/>
      <c r="V116" s="860"/>
      <c r="W116" s="860"/>
      <c r="X116" s="860"/>
      <c r="Y116" s="860"/>
      <c r="Z116" s="860"/>
      <c r="AA116" s="860"/>
      <c r="AB116" s="860"/>
      <c r="AC116" s="860"/>
      <c r="AD116" s="860"/>
      <c r="AE116" s="860"/>
      <c r="AF116" s="860"/>
      <c r="AG116" s="860"/>
      <c r="AH116" s="860"/>
      <c r="AI116" s="860"/>
      <c r="AJ116" s="860"/>
      <c r="AK116" s="860"/>
      <c r="AL116" s="860"/>
      <c r="AM116" s="860"/>
      <c r="AN116" s="860"/>
      <c r="AO116" s="860"/>
      <c r="AP116" s="860"/>
      <c r="AQ116" s="860"/>
      <c r="AR116" s="860"/>
      <c r="AS116" s="860"/>
      <c r="AT116" s="860"/>
      <c r="AU116" s="860"/>
      <c r="AV116" s="860"/>
      <c r="AW116" s="860"/>
      <c r="AX116" s="860"/>
      <c r="AY116" s="860"/>
      <c r="AZ116" s="860"/>
    </row>
    <row r="117" spans="1:52" ht="15" customHeight="1" x14ac:dyDescent="0.25">
      <c r="A117" s="860"/>
      <c r="B117" s="860"/>
      <c r="C117" s="860"/>
      <c r="D117" s="860"/>
      <c r="E117" s="860"/>
      <c r="F117" s="860"/>
      <c r="G117" s="860"/>
      <c r="H117" s="860"/>
      <c r="I117" s="860"/>
      <c r="J117" s="860"/>
      <c r="K117" s="860"/>
      <c r="L117" s="860"/>
      <c r="M117" s="860"/>
      <c r="N117" s="860"/>
      <c r="O117" s="860"/>
      <c r="P117" s="860"/>
      <c r="Q117" s="860"/>
      <c r="R117" s="860"/>
      <c r="S117" s="860"/>
      <c r="T117" s="860"/>
      <c r="U117" s="860"/>
      <c r="V117" s="860"/>
      <c r="W117" s="860"/>
      <c r="X117" s="860"/>
      <c r="Y117" s="860"/>
      <c r="Z117" s="860"/>
      <c r="AA117" s="860"/>
      <c r="AB117" s="860"/>
      <c r="AC117" s="860"/>
      <c r="AD117" s="860"/>
      <c r="AE117" s="860"/>
      <c r="AF117" s="860"/>
      <c r="AG117" s="860"/>
      <c r="AH117" s="860"/>
      <c r="AI117" s="860"/>
      <c r="AJ117" s="860"/>
      <c r="AK117" s="860"/>
      <c r="AL117" s="860"/>
      <c r="AM117" s="860"/>
      <c r="AN117" s="860"/>
      <c r="AO117" s="860"/>
      <c r="AP117" s="860"/>
      <c r="AQ117" s="860"/>
      <c r="AR117" s="860"/>
      <c r="AS117" s="860"/>
      <c r="AT117" s="860"/>
      <c r="AU117" s="860"/>
      <c r="AV117" s="860"/>
      <c r="AW117" s="860"/>
      <c r="AX117" s="860"/>
      <c r="AY117" s="860"/>
      <c r="AZ117" s="860"/>
    </row>
    <row r="118" spans="1:52" ht="15" customHeight="1" x14ac:dyDescent="0.25">
      <c r="A118" s="860"/>
      <c r="B118" s="860"/>
      <c r="C118" s="860"/>
      <c r="D118" s="860"/>
      <c r="E118" s="860"/>
      <c r="F118" s="860"/>
      <c r="G118" s="860"/>
      <c r="H118" s="860"/>
      <c r="I118" s="860"/>
      <c r="J118" s="860"/>
      <c r="K118" s="860"/>
      <c r="L118" s="860"/>
      <c r="M118" s="860"/>
      <c r="N118" s="860"/>
      <c r="O118" s="860"/>
      <c r="P118" s="860"/>
      <c r="Q118" s="860"/>
      <c r="R118" s="860"/>
      <c r="S118" s="860"/>
      <c r="T118" s="860"/>
      <c r="U118" s="860"/>
      <c r="V118" s="860"/>
      <c r="W118" s="860"/>
      <c r="X118" s="860"/>
      <c r="Y118" s="860"/>
      <c r="Z118" s="860"/>
      <c r="AA118" s="860"/>
      <c r="AB118" s="860"/>
      <c r="AC118" s="860"/>
      <c r="AD118" s="860"/>
      <c r="AE118" s="860"/>
      <c r="AF118" s="860"/>
      <c r="AG118" s="860"/>
      <c r="AH118" s="860"/>
      <c r="AI118" s="860"/>
      <c r="AJ118" s="860"/>
      <c r="AK118" s="860"/>
      <c r="AL118" s="860"/>
      <c r="AM118" s="860"/>
      <c r="AN118" s="860"/>
      <c r="AO118" s="860"/>
      <c r="AP118" s="860"/>
      <c r="AQ118" s="860"/>
      <c r="AR118" s="860"/>
      <c r="AS118" s="860"/>
      <c r="AT118" s="860"/>
      <c r="AU118" s="860"/>
      <c r="AV118" s="860"/>
      <c r="AW118" s="860"/>
      <c r="AX118" s="860"/>
      <c r="AY118" s="860"/>
      <c r="AZ118" s="860"/>
    </row>
    <row r="119" spans="1:52" ht="15" customHeight="1" x14ac:dyDescent="0.25">
      <c r="A119" s="860"/>
      <c r="B119" s="860"/>
      <c r="C119" s="860"/>
      <c r="D119" s="860"/>
      <c r="E119" s="860"/>
      <c r="F119" s="860"/>
      <c r="G119" s="860"/>
      <c r="H119" s="860"/>
      <c r="I119" s="860"/>
      <c r="J119" s="860"/>
      <c r="K119" s="860"/>
      <c r="L119" s="860"/>
      <c r="M119" s="860"/>
      <c r="N119" s="860"/>
      <c r="O119" s="860"/>
      <c r="P119" s="860"/>
      <c r="Q119" s="860"/>
      <c r="R119" s="860"/>
      <c r="S119" s="860"/>
      <c r="T119" s="860"/>
      <c r="U119" s="860"/>
      <c r="V119" s="860"/>
      <c r="W119" s="860"/>
      <c r="X119" s="860"/>
      <c r="Y119" s="860"/>
      <c r="Z119" s="860"/>
      <c r="AA119" s="860"/>
      <c r="AB119" s="860"/>
      <c r="AC119" s="860"/>
      <c r="AD119" s="860"/>
      <c r="AE119" s="860"/>
      <c r="AF119" s="860"/>
      <c r="AG119" s="860"/>
      <c r="AH119" s="860"/>
      <c r="AI119" s="860"/>
      <c r="AJ119" s="860"/>
      <c r="AK119" s="860"/>
      <c r="AL119" s="860"/>
      <c r="AM119" s="860"/>
      <c r="AN119" s="860"/>
      <c r="AO119" s="860"/>
      <c r="AP119" s="860"/>
      <c r="AQ119" s="860"/>
      <c r="AR119" s="860"/>
      <c r="AS119" s="860"/>
      <c r="AT119" s="860"/>
      <c r="AU119" s="860"/>
      <c r="AV119" s="860"/>
      <c r="AW119" s="860"/>
      <c r="AX119" s="860"/>
      <c r="AY119" s="860"/>
      <c r="AZ119" s="860"/>
    </row>
    <row r="120" spans="1:52" ht="15" customHeight="1" x14ac:dyDescent="0.25">
      <c r="A120" s="860"/>
      <c r="B120" s="860"/>
      <c r="C120" s="860"/>
      <c r="D120" s="860"/>
      <c r="E120" s="860"/>
      <c r="F120" s="860"/>
      <c r="G120" s="860"/>
      <c r="H120" s="860"/>
      <c r="I120" s="860"/>
      <c r="J120" s="860"/>
      <c r="K120" s="860"/>
      <c r="L120" s="860"/>
      <c r="M120" s="860"/>
      <c r="N120" s="860"/>
      <c r="O120" s="860"/>
      <c r="P120" s="860"/>
      <c r="Q120" s="860"/>
      <c r="R120" s="860"/>
      <c r="S120" s="860"/>
      <c r="T120" s="860"/>
      <c r="U120" s="860"/>
      <c r="V120" s="860"/>
      <c r="W120" s="860"/>
      <c r="X120" s="860"/>
      <c r="Y120" s="860"/>
      <c r="Z120" s="860"/>
      <c r="AA120" s="860"/>
      <c r="AB120" s="860"/>
      <c r="AC120" s="860"/>
      <c r="AD120" s="860"/>
      <c r="AE120" s="860"/>
      <c r="AF120" s="860"/>
      <c r="AG120" s="860"/>
      <c r="AH120" s="860"/>
      <c r="AI120" s="860"/>
      <c r="AJ120" s="860"/>
      <c r="AK120" s="860"/>
      <c r="AL120" s="860"/>
      <c r="AM120" s="860"/>
      <c r="AN120" s="860"/>
      <c r="AO120" s="860"/>
      <c r="AP120" s="860"/>
      <c r="AQ120" s="860"/>
      <c r="AR120" s="860"/>
      <c r="AS120" s="860"/>
      <c r="AT120" s="860"/>
      <c r="AU120" s="860"/>
      <c r="AV120" s="860"/>
      <c r="AW120" s="860"/>
      <c r="AX120" s="860"/>
      <c r="AY120" s="860"/>
      <c r="AZ120" s="860"/>
    </row>
    <row r="121" spans="1:52" ht="15" customHeight="1" x14ac:dyDescent="0.25">
      <c r="A121" s="860"/>
      <c r="B121" s="860"/>
      <c r="C121" s="860"/>
      <c r="D121" s="860"/>
      <c r="E121" s="860"/>
      <c r="F121" s="860"/>
      <c r="G121" s="860"/>
      <c r="H121" s="860"/>
      <c r="I121" s="860"/>
      <c r="J121" s="860"/>
      <c r="K121" s="860"/>
      <c r="L121" s="860"/>
      <c r="M121" s="860"/>
      <c r="N121" s="860"/>
      <c r="O121" s="860"/>
      <c r="P121" s="860"/>
      <c r="Q121" s="860"/>
      <c r="R121" s="860"/>
      <c r="S121" s="860"/>
      <c r="T121" s="860"/>
      <c r="U121" s="860"/>
      <c r="V121" s="860"/>
      <c r="W121" s="860"/>
      <c r="X121" s="860"/>
      <c r="Y121" s="860"/>
      <c r="Z121" s="860"/>
      <c r="AA121" s="860"/>
      <c r="AB121" s="860"/>
      <c r="AC121" s="860"/>
      <c r="AD121" s="860"/>
      <c r="AE121" s="860"/>
      <c r="AF121" s="860"/>
      <c r="AG121" s="860"/>
      <c r="AH121" s="860"/>
      <c r="AI121" s="860"/>
      <c r="AJ121" s="860"/>
      <c r="AK121" s="860"/>
      <c r="AL121" s="860"/>
      <c r="AM121" s="860"/>
      <c r="AN121" s="860"/>
      <c r="AO121" s="860"/>
      <c r="AP121" s="860"/>
      <c r="AQ121" s="860"/>
      <c r="AR121" s="860"/>
      <c r="AS121" s="860"/>
      <c r="AT121" s="860"/>
      <c r="AU121" s="860"/>
      <c r="AV121" s="860"/>
      <c r="AW121" s="860"/>
      <c r="AX121" s="860"/>
      <c r="AY121" s="860"/>
      <c r="AZ121" s="860"/>
    </row>
    <row r="122" spans="1:52" ht="15" customHeight="1" x14ac:dyDescent="0.25">
      <c r="A122" s="860"/>
      <c r="B122" s="860"/>
      <c r="C122" s="860"/>
      <c r="D122" s="860"/>
      <c r="E122" s="860"/>
      <c r="F122" s="860"/>
      <c r="G122" s="860"/>
      <c r="H122" s="860"/>
      <c r="I122" s="860"/>
      <c r="J122" s="860"/>
      <c r="K122" s="860"/>
      <c r="L122" s="860"/>
      <c r="M122" s="860"/>
      <c r="N122" s="860"/>
      <c r="O122" s="860"/>
      <c r="P122" s="860"/>
      <c r="Q122" s="860"/>
      <c r="R122" s="860"/>
      <c r="S122" s="860"/>
      <c r="T122" s="860"/>
      <c r="U122" s="860"/>
      <c r="V122" s="860"/>
      <c r="W122" s="860"/>
      <c r="X122" s="860"/>
      <c r="Y122" s="860"/>
      <c r="Z122" s="860"/>
      <c r="AA122" s="860"/>
      <c r="AB122" s="860"/>
      <c r="AC122" s="860"/>
      <c r="AD122" s="860"/>
      <c r="AE122" s="860"/>
      <c r="AF122" s="860"/>
      <c r="AG122" s="860"/>
      <c r="AH122" s="860"/>
      <c r="AI122" s="860"/>
      <c r="AJ122" s="860"/>
      <c r="AK122" s="860"/>
      <c r="AL122" s="860"/>
      <c r="AM122" s="860"/>
      <c r="AN122" s="860"/>
      <c r="AO122" s="860"/>
      <c r="AP122" s="860"/>
      <c r="AQ122" s="860"/>
      <c r="AR122" s="860"/>
      <c r="AS122" s="860"/>
      <c r="AT122" s="860"/>
      <c r="AU122" s="860"/>
      <c r="AV122" s="860"/>
      <c r="AW122" s="860"/>
      <c r="AX122" s="860"/>
      <c r="AY122" s="860"/>
      <c r="AZ122" s="860"/>
    </row>
    <row r="123" spans="1:52" ht="15" customHeight="1" x14ac:dyDescent="0.25">
      <c r="A123" s="860"/>
      <c r="B123" s="860"/>
      <c r="C123" s="860"/>
      <c r="D123" s="860"/>
      <c r="E123" s="860"/>
      <c r="F123" s="860"/>
      <c r="G123" s="860"/>
      <c r="H123" s="860"/>
      <c r="I123" s="860"/>
      <c r="J123" s="860"/>
      <c r="K123" s="860"/>
      <c r="L123" s="860"/>
      <c r="M123" s="860"/>
      <c r="N123" s="860"/>
      <c r="O123" s="860"/>
      <c r="P123" s="860"/>
      <c r="Q123" s="860"/>
      <c r="R123" s="860"/>
      <c r="S123" s="860"/>
      <c r="T123" s="860"/>
      <c r="U123" s="860"/>
      <c r="V123" s="860"/>
      <c r="W123" s="860"/>
      <c r="X123" s="860"/>
      <c r="Y123" s="860"/>
      <c r="Z123" s="860"/>
      <c r="AA123" s="860"/>
      <c r="AB123" s="860"/>
      <c r="AC123" s="860"/>
      <c r="AD123" s="860"/>
      <c r="AE123" s="860"/>
      <c r="AF123" s="860"/>
      <c r="AG123" s="860"/>
      <c r="AH123" s="860"/>
      <c r="AI123" s="860"/>
      <c r="AJ123" s="860"/>
      <c r="AK123" s="860"/>
      <c r="AL123" s="860"/>
      <c r="AM123" s="860"/>
      <c r="AN123" s="860"/>
      <c r="AO123" s="860"/>
      <c r="AP123" s="860"/>
      <c r="AQ123" s="860"/>
      <c r="AR123" s="860"/>
      <c r="AS123" s="860"/>
      <c r="AT123" s="860"/>
      <c r="AU123" s="860"/>
      <c r="AV123" s="860"/>
      <c r="AW123" s="860"/>
      <c r="AX123" s="860"/>
      <c r="AY123" s="860"/>
      <c r="AZ123" s="860"/>
    </row>
    <row r="124" spans="1:52" ht="15" customHeight="1" x14ac:dyDescent="0.25">
      <c r="A124" s="860"/>
      <c r="B124" s="860"/>
      <c r="C124" s="860"/>
      <c r="D124" s="860"/>
      <c r="E124" s="860"/>
      <c r="F124" s="860"/>
      <c r="G124" s="860"/>
      <c r="H124" s="860"/>
      <c r="I124" s="860"/>
      <c r="J124" s="860"/>
      <c r="K124" s="860"/>
      <c r="L124" s="860"/>
      <c r="M124" s="860"/>
      <c r="N124" s="860"/>
      <c r="O124" s="860"/>
      <c r="P124" s="860"/>
      <c r="Q124" s="860"/>
      <c r="R124" s="860"/>
      <c r="S124" s="860"/>
      <c r="T124" s="860"/>
      <c r="U124" s="860"/>
      <c r="V124" s="860"/>
      <c r="W124" s="860"/>
      <c r="X124" s="860"/>
      <c r="Y124" s="860"/>
      <c r="Z124" s="860"/>
      <c r="AA124" s="860"/>
      <c r="AB124" s="860"/>
      <c r="AC124" s="860"/>
      <c r="AD124" s="860"/>
      <c r="AE124" s="860"/>
      <c r="AF124" s="860"/>
      <c r="AG124" s="860"/>
      <c r="AH124" s="860"/>
      <c r="AI124" s="860"/>
      <c r="AJ124" s="860"/>
      <c r="AK124" s="860"/>
      <c r="AL124" s="860"/>
      <c r="AM124" s="860"/>
      <c r="AN124" s="860"/>
      <c r="AO124" s="860"/>
      <c r="AP124" s="860"/>
      <c r="AQ124" s="860"/>
      <c r="AR124" s="860"/>
      <c r="AS124" s="860"/>
      <c r="AT124" s="860"/>
      <c r="AU124" s="860"/>
      <c r="AV124" s="860"/>
      <c r="AW124" s="860"/>
      <c r="AX124" s="860"/>
      <c r="AY124" s="860"/>
      <c r="AZ124" s="860"/>
    </row>
    <row r="125" spans="1:52" ht="15" customHeight="1" x14ac:dyDescent="0.25">
      <c r="A125" s="860"/>
      <c r="B125" s="860"/>
      <c r="C125" s="860"/>
      <c r="D125" s="860"/>
      <c r="E125" s="860"/>
      <c r="F125" s="860"/>
      <c r="G125" s="860"/>
      <c r="H125" s="860"/>
      <c r="I125" s="860"/>
      <c r="J125" s="860"/>
      <c r="K125" s="860"/>
      <c r="L125" s="860"/>
      <c r="M125" s="860"/>
      <c r="N125" s="860"/>
      <c r="O125" s="860"/>
      <c r="P125" s="860"/>
      <c r="Q125" s="860"/>
      <c r="R125" s="860"/>
      <c r="S125" s="860"/>
      <c r="T125" s="860"/>
      <c r="U125" s="860"/>
      <c r="V125" s="860"/>
      <c r="W125" s="860"/>
      <c r="X125" s="860"/>
      <c r="Y125" s="860"/>
      <c r="Z125" s="860"/>
      <c r="AA125" s="860"/>
      <c r="AB125" s="860"/>
      <c r="AC125" s="860"/>
      <c r="AD125" s="860"/>
      <c r="AE125" s="860"/>
      <c r="AF125" s="860"/>
      <c r="AG125" s="860"/>
      <c r="AH125" s="860"/>
      <c r="AI125" s="860"/>
      <c r="AJ125" s="860"/>
      <c r="AK125" s="860"/>
      <c r="AL125" s="860"/>
      <c r="AM125" s="860"/>
      <c r="AN125" s="860"/>
      <c r="AO125" s="860"/>
      <c r="AP125" s="860"/>
      <c r="AQ125" s="860"/>
      <c r="AR125" s="860"/>
      <c r="AS125" s="860"/>
      <c r="AT125" s="860"/>
      <c r="AU125" s="860"/>
      <c r="AV125" s="860"/>
      <c r="AW125" s="860"/>
      <c r="AX125" s="860"/>
      <c r="AY125" s="860"/>
      <c r="AZ125" s="860"/>
    </row>
    <row r="126" spans="1:52" ht="15" customHeight="1" x14ac:dyDescent="0.25">
      <c r="A126" s="860"/>
      <c r="B126" s="860"/>
      <c r="C126" s="860"/>
      <c r="D126" s="860"/>
      <c r="E126" s="860"/>
      <c r="F126" s="860"/>
      <c r="G126" s="860"/>
      <c r="H126" s="860"/>
      <c r="I126" s="860"/>
      <c r="J126" s="860"/>
      <c r="K126" s="860"/>
      <c r="L126" s="860"/>
      <c r="M126" s="860"/>
      <c r="N126" s="860"/>
      <c r="O126" s="860"/>
      <c r="P126" s="860"/>
      <c r="Q126" s="860"/>
      <c r="R126" s="860"/>
      <c r="S126" s="860"/>
      <c r="T126" s="860"/>
      <c r="U126" s="860"/>
      <c r="V126" s="860"/>
      <c r="W126" s="860"/>
      <c r="X126" s="860"/>
      <c r="Y126" s="860"/>
      <c r="Z126" s="860"/>
      <c r="AA126" s="860"/>
      <c r="AB126" s="860"/>
      <c r="AC126" s="860"/>
      <c r="AD126" s="860"/>
      <c r="AE126" s="860"/>
      <c r="AF126" s="860"/>
      <c r="AG126" s="860"/>
      <c r="AH126" s="860"/>
      <c r="AI126" s="860"/>
      <c r="AJ126" s="860"/>
      <c r="AK126" s="860"/>
      <c r="AL126" s="860"/>
      <c r="AM126" s="860"/>
      <c r="AN126" s="860"/>
      <c r="AO126" s="860"/>
      <c r="AP126" s="860"/>
      <c r="AQ126" s="860"/>
      <c r="AR126" s="860"/>
      <c r="AS126" s="860"/>
      <c r="AT126" s="860"/>
      <c r="AU126" s="860"/>
      <c r="AV126" s="860"/>
      <c r="AW126" s="860"/>
      <c r="AX126" s="860"/>
      <c r="AY126" s="860"/>
      <c r="AZ126" s="860"/>
    </row>
    <row r="127" spans="1:52" ht="15" customHeight="1" x14ac:dyDescent="0.25">
      <c r="A127" s="860"/>
      <c r="B127" s="860"/>
      <c r="C127" s="860"/>
      <c r="D127" s="860"/>
      <c r="E127" s="860"/>
      <c r="F127" s="860"/>
      <c r="G127" s="860"/>
      <c r="H127" s="860"/>
      <c r="I127" s="860"/>
      <c r="J127" s="860"/>
      <c r="K127" s="860"/>
      <c r="L127" s="860"/>
      <c r="M127" s="860"/>
      <c r="N127" s="860"/>
      <c r="O127" s="860"/>
      <c r="P127" s="860"/>
      <c r="Q127" s="860"/>
      <c r="R127" s="860"/>
      <c r="S127" s="860"/>
      <c r="T127" s="860"/>
      <c r="U127" s="860"/>
      <c r="V127" s="860"/>
      <c r="W127" s="860"/>
      <c r="X127" s="860"/>
      <c r="Y127" s="860"/>
      <c r="Z127" s="860"/>
      <c r="AA127" s="860"/>
      <c r="AB127" s="860"/>
      <c r="AC127" s="860"/>
      <c r="AD127" s="860"/>
      <c r="AE127" s="860"/>
      <c r="AF127" s="860"/>
      <c r="AG127" s="860"/>
      <c r="AH127" s="860"/>
      <c r="AI127" s="860"/>
      <c r="AJ127" s="860"/>
      <c r="AK127" s="860"/>
      <c r="AL127" s="860"/>
      <c r="AM127" s="860"/>
      <c r="AN127" s="860"/>
      <c r="AO127" s="860"/>
      <c r="AP127" s="860"/>
      <c r="AQ127" s="860"/>
      <c r="AR127" s="860"/>
      <c r="AS127" s="860"/>
      <c r="AT127" s="860"/>
      <c r="AU127" s="860"/>
      <c r="AV127" s="860"/>
      <c r="AW127" s="860"/>
      <c r="AX127" s="860"/>
      <c r="AY127" s="860"/>
      <c r="AZ127" s="860"/>
    </row>
    <row r="128" spans="1:52" ht="15" customHeight="1" x14ac:dyDescent="0.25">
      <c r="A128" s="860"/>
      <c r="B128" s="860"/>
      <c r="C128" s="860"/>
      <c r="D128" s="860"/>
      <c r="E128" s="860"/>
      <c r="F128" s="860"/>
      <c r="G128" s="860"/>
      <c r="H128" s="860"/>
      <c r="I128" s="860"/>
      <c r="J128" s="860"/>
      <c r="K128" s="860"/>
      <c r="L128" s="860"/>
      <c r="M128" s="860"/>
      <c r="N128" s="860"/>
      <c r="O128" s="860"/>
      <c r="P128" s="860"/>
      <c r="Q128" s="860"/>
      <c r="R128" s="860"/>
      <c r="S128" s="860"/>
      <c r="T128" s="860"/>
      <c r="U128" s="860"/>
      <c r="V128" s="860"/>
      <c r="W128" s="860"/>
      <c r="X128" s="860"/>
      <c r="Y128" s="860"/>
      <c r="Z128" s="860"/>
      <c r="AA128" s="860"/>
      <c r="AB128" s="860"/>
      <c r="AC128" s="860"/>
      <c r="AD128" s="860"/>
      <c r="AE128" s="860"/>
      <c r="AF128" s="860"/>
      <c r="AG128" s="860"/>
      <c r="AH128" s="860"/>
      <c r="AI128" s="860"/>
      <c r="AJ128" s="860"/>
      <c r="AK128" s="860"/>
      <c r="AL128" s="860"/>
      <c r="AM128" s="860"/>
      <c r="AN128" s="860"/>
      <c r="AO128" s="860"/>
      <c r="AP128" s="860"/>
      <c r="AQ128" s="860"/>
      <c r="AR128" s="860"/>
      <c r="AS128" s="860"/>
      <c r="AT128" s="860"/>
      <c r="AU128" s="860"/>
      <c r="AV128" s="860"/>
      <c r="AW128" s="860"/>
      <c r="AX128" s="860"/>
      <c r="AY128" s="860"/>
      <c r="AZ128" s="860"/>
    </row>
    <row r="129" spans="1:52" ht="15" customHeight="1" x14ac:dyDescent="0.25">
      <c r="A129" s="860"/>
      <c r="B129" s="860"/>
      <c r="C129" s="860"/>
      <c r="D129" s="860"/>
      <c r="E129" s="860"/>
      <c r="F129" s="860"/>
      <c r="G129" s="860"/>
      <c r="H129" s="860"/>
      <c r="I129" s="860"/>
      <c r="J129" s="860"/>
      <c r="K129" s="860"/>
      <c r="L129" s="860"/>
      <c r="M129" s="860"/>
      <c r="N129" s="860"/>
      <c r="O129" s="860"/>
      <c r="P129" s="860"/>
      <c r="Q129" s="860"/>
      <c r="R129" s="860"/>
      <c r="S129" s="860"/>
      <c r="T129" s="860"/>
      <c r="U129" s="860"/>
      <c r="V129" s="860"/>
      <c r="W129" s="860"/>
      <c r="X129" s="860"/>
      <c r="Y129" s="860"/>
      <c r="Z129" s="860"/>
      <c r="AA129" s="860"/>
      <c r="AB129" s="860"/>
      <c r="AC129" s="860"/>
      <c r="AD129" s="860"/>
      <c r="AE129" s="860"/>
      <c r="AF129" s="860"/>
      <c r="AG129" s="860"/>
      <c r="AH129" s="860"/>
      <c r="AI129" s="860"/>
      <c r="AJ129" s="860"/>
      <c r="AK129" s="860"/>
      <c r="AL129" s="860"/>
      <c r="AM129" s="860"/>
      <c r="AN129" s="860"/>
      <c r="AO129" s="860"/>
      <c r="AP129" s="860"/>
      <c r="AQ129" s="860"/>
      <c r="AR129" s="860"/>
      <c r="AS129" s="860"/>
      <c r="AT129" s="860"/>
      <c r="AU129" s="860"/>
      <c r="AV129" s="860"/>
      <c r="AW129" s="860"/>
      <c r="AX129" s="860"/>
      <c r="AY129" s="860"/>
      <c r="AZ129" s="860"/>
    </row>
    <row r="130" spans="1:52" ht="15" customHeight="1" x14ac:dyDescent="0.25">
      <c r="A130" s="860"/>
      <c r="B130" s="860"/>
      <c r="C130" s="860"/>
      <c r="D130" s="860"/>
      <c r="E130" s="860"/>
      <c r="F130" s="860"/>
      <c r="G130" s="860"/>
      <c r="H130" s="860"/>
      <c r="I130" s="860"/>
      <c r="J130" s="860"/>
      <c r="K130" s="860"/>
      <c r="L130" s="860"/>
      <c r="M130" s="860"/>
      <c r="N130" s="860"/>
      <c r="O130" s="860"/>
      <c r="P130" s="860"/>
      <c r="Q130" s="860"/>
      <c r="R130" s="860"/>
      <c r="S130" s="860"/>
      <c r="T130" s="860"/>
      <c r="U130" s="860"/>
      <c r="V130" s="860"/>
      <c r="W130" s="860"/>
      <c r="X130" s="860"/>
      <c r="Y130" s="860"/>
      <c r="Z130" s="860"/>
      <c r="AA130" s="860"/>
      <c r="AB130" s="860"/>
      <c r="AC130" s="860"/>
      <c r="AD130" s="860"/>
      <c r="AE130" s="860"/>
      <c r="AF130" s="860"/>
      <c r="AG130" s="860"/>
      <c r="AH130" s="860"/>
      <c r="AI130" s="860"/>
      <c r="AJ130" s="860"/>
      <c r="AK130" s="860"/>
      <c r="AL130" s="860"/>
      <c r="AM130" s="860"/>
      <c r="AN130" s="860"/>
      <c r="AO130" s="860"/>
      <c r="AP130" s="860"/>
      <c r="AQ130" s="860"/>
      <c r="AR130" s="860"/>
      <c r="AS130" s="860"/>
      <c r="AT130" s="860"/>
      <c r="AU130" s="860"/>
      <c r="AV130" s="860"/>
      <c r="AW130" s="860"/>
      <c r="AX130" s="860"/>
      <c r="AY130" s="860"/>
      <c r="AZ130" s="860"/>
    </row>
    <row r="131" spans="1:52" ht="15" customHeight="1" x14ac:dyDescent="0.25">
      <c r="A131" s="860"/>
      <c r="B131" s="860"/>
      <c r="C131" s="860"/>
      <c r="D131" s="860"/>
      <c r="E131" s="860"/>
      <c r="F131" s="860"/>
      <c r="G131" s="860"/>
      <c r="H131" s="860"/>
      <c r="I131" s="860"/>
      <c r="J131" s="860"/>
      <c r="K131" s="860"/>
      <c r="L131" s="860"/>
      <c r="M131" s="860"/>
      <c r="N131" s="860"/>
      <c r="O131" s="860"/>
      <c r="P131" s="860"/>
      <c r="Q131" s="860"/>
      <c r="R131" s="860"/>
      <c r="S131" s="860"/>
      <c r="T131" s="860"/>
      <c r="U131" s="860"/>
      <c r="V131" s="860"/>
      <c r="W131" s="860"/>
      <c r="X131" s="860"/>
      <c r="Y131" s="860"/>
      <c r="Z131" s="860"/>
      <c r="AA131" s="860"/>
      <c r="AB131" s="860"/>
      <c r="AC131" s="860"/>
      <c r="AD131" s="860"/>
      <c r="AE131" s="860"/>
      <c r="AF131" s="860"/>
      <c r="AG131" s="860"/>
      <c r="AH131" s="860"/>
      <c r="AI131" s="860"/>
      <c r="AJ131" s="860"/>
      <c r="AK131" s="860"/>
      <c r="AL131" s="860"/>
      <c r="AM131" s="860"/>
      <c r="AN131" s="860"/>
      <c r="AO131" s="860"/>
      <c r="AP131" s="860"/>
      <c r="AQ131" s="860"/>
      <c r="AR131" s="860"/>
      <c r="AS131" s="860"/>
      <c r="AT131" s="860"/>
      <c r="AU131" s="860"/>
      <c r="AV131" s="860"/>
      <c r="AW131" s="860"/>
      <c r="AX131" s="860"/>
      <c r="AY131" s="860"/>
      <c r="AZ131" s="860"/>
    </row>
    <row r="132" spans="1:52" ht="15" customHeight="1" x14ac:dyDescent="0.25">
      <c r="A132" s="860"/>
      <c r="B132" s="860"/>
      <c r="C132" s="860"/>
      <c r="D132" s="860"/>
      <c r="E132" s="860"/>
      <c r="F132" s="860"/>
      <c r="G132" s="860"/>
      <c r="H132" s="860"/>
      <c r="I132" s="860"/>
      <c r="J132" s="860"/>
      <c r="K132" s="860"/>
      <c r="L132" s="860"/>
      <c r="M132" s="860"/>
      <c r="N132" s="860"/>
      <c r="O132" s="860"/>
      <c r="P132" s="860"/>
      <c r="Q132" s="860"/>
      <c r="R132" s="860"/>
      <c r="S132" s="860"/>
      <c r="T132" s="860"/>
      <c r="U132" s="860"/>
      <c r="V132" s="860"/>
      <c r="W132" s="860"/>
      <c r="X132" s="860"/>
      <c r="Y132" s="860"/>
      <c r="Z132" s="860"/>
      <c r="AA132" s="860"/>
      <c r="AB132" s="860"/>
      <c r="AC132" s="860"/>
      <c r="AD132" s="860"/>
      <c r="AE132" s="860"/>
      <c r="AF132" s="860"/>
      <c r="AG132" s="860"/>
      <c r="AH132" s="860"/>
      <c r="AI132" s="860"/>
      <c r="AJ132" s="860"/>
      <c r="AK132" s="860"/>
      <c r="AL132" s="860"/>
      <c r="AM132" s="860"/>
      <c r="AN132" s="860"/>
      <c r="AO132" s="860"/>
      <c r="AP132" s="860"/>
      <c r="AQ132" s="860"/>
      <c r="AR132" s="860"/>
      <c r="AS132" s="860"/>
      <c r="AT132" s="860"/>
      <c r="AU132" s="860"/>
      <c r="AV132" s="860"/>
      <c r="AW132" s="860"/>
      <c r="AX132" s="860"/>
      <c r="AY132" s="860"/>
      <c r="AZ132" s="860"/>
    </row>
    <row r="133" spans="1:52" ht="15" customHeight="1" x14ac:dyDescent="0.25">
      <c r="A133" s="860"/>
      <c r="B133" s="860"/>
      <c r="C133" s="860"/>
      <c r="D133" s="860"/>
      <c r="E133" s="860"/>
      <c r="F133" s="860"/>
      <c r="G133" s="860"/>
      <c r="H133" s="860"/>
      <c r="I133" s="860"/>
      <c r="J133" s="860"/>
      <c r="K133" s="860"/>
      <c r="L133" s="860"/>
      <c r="M133" s="860"/>
      <c r="N133" s="860"/>
      <c r="O133" s="860"/>
      <c r="P133" s="860"/>
      <c r="Q133" s="860"/>
      <c r="R133" s="860"/>
      <c r="S133" s="860"/>
      <c r="T133" s="860"/>
      <c r="U133" s="860"/>
      <c r="V133" s="860"/>
      <c r="W133" s="860"/>
      <c r="X133" s="860"/>
      <c r="Y133" s="860"/>
      <c r="Z133" s="860"/>
      <c r="AA133" s="860"/>
      <c r="AB133" s="860"/>
      <c r="AC133" s="860"/>
      <c r="AD133" s="860"/>
      <c r="AE133" s="860"/>
      <c r="AF133" s="860"/>
      <c r="AG133" s="860"/>
      <c r="AH133" s="860"/>
      <c r="AI133" s="860"/>
      <c r="AJ133" s="860"/>
      <c r="AK133" s="860"/>
      <c r="AL133" s="860"/>
      <c r="AM133" s="860"/>
      <c r="AN133" s="860"/>
      <c r="AO133" s="860"/>
      <c r="AP133" s="860"/>
      <c r="AQ133" s="860"/>
      <c r="AR133" s="860"/>
      <c r="AS133" s="860"/>
      <c r="AT133" s="860"/>
      <c r="AU133" s="860"/>
      <c r="AV133" s="860"/>
      <c r="AW133" s="860"/>
      <c r="AX133" s="860"/>
      <c r="AY133" s="860"/>
      <c r="AZ133" s="860"/>
    </row>
    <row r="134" spans="1:52" ht="15" customHeight="1" x14ac:dyDescent="0.25">
      <c r="A134" s="860"/>
      <c r="B134" s="860"/>
      <c r="C134" s="860"/>
      <c r="D134" s="860"/>
      <c r="E134" s="860"/>
      <c r="F134" s="860"/>
      <c r="G134" s="860"/>
      <c r="H134" s="860"/>
      <c r="I134" s="860"/>
      <c r="J134" s="860"/>
      <c r="K134" s="860"/>
      <c r="L134" s="860"/>
      <c r="M134" s="860"/>
      <c r="N134" s="860"/>
      <c r="O134" s="860"/>
      <c r="P134" s="860"/>
      <c r="Q134" s="860"/>
      <c r="R134" s="860"/>
      <c r="S134" s="860"/>
      <c r="T134" s="860"/>
      <c r="U134" s="860"/>
      <c r="V134" s="860"/>
      <c r="W134" s="860"/>
      <c r="X134" s="860"/>
      <c r="Y134" s="860"/>
      <c r="Z134" s="860"/>
      <c r="AA134" s="860"/>
      <c r="AB134" s="860"/>
      <c r="AC134" s="860"/>
      <c r="AD134" s="860"/>
      <c r="AE134" s="860"/>
      <c r="AF134" s="860"/>
      <c r="AG134" s="860"/>
      <c r="AH134" s="860"/>
      <c r="AI134" s="860"/>
      <c r="AJ134" s="860"/>
      <c r="AK134" s="860"/>
      <c r="AL134" s="860"/>
      <c r="AM134" s="860"/>
      <c r="AN134" s="860"/>
      <c r="AO134" s="860"/>
      <c r="AP134" s="860"/>
      <c r="AQ134" s="860"/>
      <c r="AR134" s="860"/>
      <c r="AS134" s="860"/>
      <c r="AT134" s="860"/>
      <c r="AU134" s="860"/>
      <c r="AV134" s="860"/>
      <c r="AW134" s="860"/>
      <c r="AX134" s="860"/>
      <c r="AY134" s="860"/>
      <c r="AZ134" s="860"/>
    </row>
    <row r="135" spans="1:52" ht="15" customHeight="1" x14ac:dyDescent="0.25">
      <c r="A135" s="860"/>
      <c r="B135" s="860"/>
      <c r="C135" s="860"/>
      <c r="D135" s="860"/>
      <c r="E135" s="860"/>
      <c r="F135" s="860"/>
      <c r="G135" s="860"/>
      <c r="H135" s="860"/>
      <c r="I135" s="860"/>
      <c r="J135" s="860"/>
      <c r="K135" s="860"/>
      <c r="L135" s="860"/>
      <c r="M135" s="860"/>
      <c r="N135" s="860"/>
      <c r="O135" s="860"/>
      <c r="P135" s="860"/>
      <c r="Q135" s="860"/>
      <c r="R135" s="860"/>
      <c r="S135" s="860"/>
      <c r="T135" s="860"/>
      <c r="U135" s="860"/>
      <c r="V135" s="860"/>
      <c r="W135" s="860"/>
      <c r="X135" s="860"/>
      <c r="Y135" s="860"/>
      <c r="Z135" s="860"/>
      <c r="AA135" s="860"/>
      <c r="AB135" s="860"/>
      <c r="AC135" s="860"/>
      <c r="AD135" s="860"/>
      <c r="AE135" s="860"/>
      <c r="AF135" s="860"/>
      <c r="AG135" s="860"/>
      <c r="AH135" s="860"/>
      <c r="AI135" s="860"/>
      <c r="AJ135" s="860"/>
      <c r="AK135" s="860"/>
      <c r="AL135" s="860"/>
      <c r="AM135" s="860"/>
      <c r="AN135" s="860"/>
      <c r="AO135" s="860"/>
      <c r="AP135" s="860"/>
      <c r="AQ135" s="860"/>
      <c r="AR135" s="860"/>
      <c r="AS135" s="860"/>
      <c r="AT135" s="860"/>
      <c r="AU135" s="860"/>
      <c r="AV135" s="860"/>
      <c r="AW135" s="860"/>
      <c r="AX135" s="860"/>
      <c r="AY135" s="860"/>
      <c r="AZ135" s="860"/>
    </row>
    <row r="136" spans="1:52" ht="15" customHeight="1" x14ac:dyDescent="0.25">
      <c r="A136" s="860"/>
      <c r="B136" s="860"/>
      <c r="C136" s="860"/>
      <c r="D136" s="860"/>
      <c r="E136" s="860"/>
      <c r="F136" s="860"/>
      <c r="G136" s="860"/>
      <c r="H136" s="860"/>
      <c r="I136" s="860"/>
      <c r="J136" s="860"/>
      <c r="K136" s="860"/>
      <c r="L136" s="860"/>
      <c r="M136" s="860"/>
      <c r="N136" s="860"/>
      <c r="O136" s="860"/>
      <c r="P136" s="860"/>
      <c r="Q136" s="860"/>
      <c r="R136" s="860"/>
      <c r="S136" s="860"/>
      <c r="T136" s="860"/>
      <c r="U136" s="860"/>
      <c r="V136" s="860"/>
      <c r="W136" s="860"/>
      <c r="X136" s="860"/>
      <c r="Y136" s="860"/>
      <c r="Z136" s="860"/>
      <c r="AA136" s="860"/>
      <c r="AB136" s="860"/>
      <c r="AC136" s="860"/>
      <c r="AD136" s="860"/>
      <c r="AE136" s="860"/>
      <c r="AF136" s="860"/>
      <c r="AG136" s="860"/>
      <c r="AH136" s="860"/>
      <c r="AI136" s="860"/>
      <c r="AJ136" s="860"/>
      <c r="AK136" s="860"/>
      <c r="AL136" s="860"/>
      <c r="AM136" s="860"/>
      <c r="AN136" s="860"/>
      <c r="AO136" s="860"/>
      <c r="AP136" s="860"/>
      <c r="AQ136" s="860"/>
      <c r="AR136" s="860"/>
      <c r="AS136" s="860"/>
      <c r="AT136" s="860"/>
      <c r="AU136" s="860"/>
      <c r="AV136" s="860"/>
      <c r="AW136" s="860"/>
      <c r="AX136" s="860"/>
      <c r="AY136" s="860"/>
      <c r="AZ136" s="860"/>
    </row>
    <row r="137" spans="1:52" ht="15" customHeight="1" x14ac:dyDescent="0.25">
      <c r="A137" s="860"/>
      <c r="B137" s="860"/>
      <c r="C137" s="860"/>
      <c r="D137" s="860"/>
      <c r="E137" s="860"/>
      <c r="F137" s="860"/>
      <c r="G137" s="860"/>
      <c r="H137" s="860"/>
      <c r="I137" s="860"/>
      <c r="J137" s="860"/>
      <c r="K137" s="860"/>
      <c r="L137" s="860"/>
      <c r="M137" s="860"/>
      <c r="N137" s="860"/>
      <c r="O137" s="860"/>
      <c r="P137" s="860"/>
      <c r="Q137" s="860"/>
      <c r="R137" s="860"/>
      <c r="S137" s="860"/>
      <c r="T137" s="860"/>
      <c r="U137" s="860"/>
      <c r="V137" s="860"/>
      <c r="W137" s="860"/>
      <c r="X137" s="860"/>
      <c r="Y137" s="860"/>
      <c r="Z137" s="860"/>
      <c r="AA137" s="860"/>
      <c r="AB137" s="860"/>
      <c r="AC137" s="860"/>
      <c r="AD137" s="860"/>
      <c r="AE137" s="860"/>
      <c r="AF137" s="860"/>
      <c r="AG137" s="860"/>
      <c r="AH137" s="860"/>
      <c r="AI137" s="860"/>
      <c r="AJ137" s="860"/>
      <c r="AK137" s="860"/>
      <c r="AL137" s="860"/>
      <c r="AM137" s="860"/>
      <c r="AN137" s="860"/>
      <c r="AO137" s="860"/>
      <c r="AP137" s="860"/>
      <c r="AQ137" s="860"/>
      <c r="AR137" s="860"/>
      <c r="AS137" s="860"/>
      <c r="AT137" s="860"/>
      <c r="AU137" s="860"/>
      <c r="AV137" s="860"/>
      <c r="AW137" s="860"/>
      <c r="AX137" s="860"/>
      <c r="AY137" s="860"/>
      <c r="AZ137" s="860"/>
    </row>
    <row r="138" spans="1:52" ht="15" customHeight="1" x14ac:dyDescent="0.25">
      <c r="A138" s="860"/>
      <c r="B138" s="860"/>
      <c r="C138" s="860"/>
      <c r="D138" s="860"/>
      <c r="E138" s="860"/>
      <c r="F138" s="860"/>
      <c r="G138" s="860"/>
      <c r="H138" s="860"/>
      <c r="I138" s="860"/>
      <c r="J138" s="860"/>
      <c r="K138" s="860"/>
      <c r="L138" s="860"/>
      <c r="M138" s="860"/>
      <c r="N138" s="860"/>
      <c r="O138" s="860"/>
      <c r="P138" s="860"/>
      <c r="Q138" s="860"/>
      <c r="R138" s="860"/>
      <c r="S138" s="860"/>
      <c r="T138" s="860"/>
      <c r="U138" s="860"/>
      <c r="V138" s="860"/>
      <c r="W138" s="860"/>
      <c r="X138" s="860"/>
      <c r="Y138" s="860"/>
      <c r="Z138" s="860"/>
      <c r="AA138" s="860"/>
      <c r="AB138" s="860"/>
      <c r="AC138" s="860"/>
      <c r="AD138" s="860"/>
      <c r="AE138" s="860"/>
      <c r="AF138" s="860"/>
      <c r="AG138" s="860"/>
      <c r="AH138" s="860"/>
      <c r="AI138" s="860"/>
      <c r="AJ138" s="860"/>
      <c r="AK138" s="860"/>
      <c r="AL138" s="860"/>
      <c r="AM138" s="860"/>
      <c r="AN138" s="860"/>
      <c r="AO138" s="860"/>
      <c r="AP138" s="860"/>
      <c r="AQ138" s="860"/>
      <c r="AR138" s="860"/>
      <c r="AS138" s="860"/>
      <c r="AT138" s="860"/>
      <c r="AU138" s="860"/>
      <c r="AV138" s="860"/>
      <c r="AW138" s="860"/>
      <c r="AX138" s="860"/>
      <c r="AY138" s="860"/>
      <c r="AZ138" s="860"/>
    </row>
    <row r="139" spans="1:52" ht="15" customHeight="1" x14ac:dyDescent="0.25">
      <c r="A139" s="860"/>
      <c r="B139" s="860"/>
      <c r="C139" s="860"/>
      <c r="D139" s="860"/>
      <c r="E139" s="860"/>
      <c r="F139" s="860"/>
      <c r="G139" s="860"/>
      <c r="H139" s="860"/>
      <c r="I139" s="860"/>
      <c r="J139" s="860"/>
      <c r="K139" s="860"/>
      <c r="L139" s="860"/>
      <c r="M139" s="860"/>
      <c r="N139" s="860"/>
      <c r="O139" s="860"/>
      <c r="P139" s="860"/>
      <c r="Q139" s="860"/>
      <c r="R139" s="860"/>
      <c r="S139" s="860"/>
      <c r="T139" s="860"/>
      <c r="U139" s="860"/>
      <c r="V139" s="860"/>
      <c r="W139" s="860"/>
      <c r="X139" s="860"/>
      <c r="Y139" s="860"/>
      <c r="Z139" s="860"/>
      <c r="AA139" s="860"/>
      <c r="AB139" s="860"/>
      <c r="AC139" s="860"/>
      <c r="AD139" s="860"/>
      <c r="AE139" s="860"/>
      <c r="AF139" s="860"/>
      <c r="AG139" s="860"/>
      <c r="AH139" s="860"/>
      <c r="AI139" s="860"/>
      <c r="AJ139" s="860"/>
      <c r="AK139" s="860"/>
      <c r="AL139" s="860"/>
      <c r="AM139" s="860"/>
      <c r="AN139" s="860"/>
      <c r="AO139" s="860"/>
      <c r="AP139" s="860"/>
      <c r="AQ139" s="860"/>
      <c r="AR139" s="860"/>
      <c r="AS139" s="860"/>
      <c r="AT139" s="860"/>
      <c r="AU139" s="860"/>
      <c r="AV139" s="860"/>
      <c r="AW139" s="860"/>
      <c r="AX139" s="860"/>
      <c r="AY139" s="860"/>
      <c r="AZ139" s="860"/>
    </row>
    <row r="140" spans="1:52" ht="15" customHeight="1" x14ac:dyDescent="0.25">
      <c r="A140" s="860"/>
      <c r="B140" s="860"/>
      <c r="C140" s="860"/>
      <c r="D140" s="860"/>
      <c r="E140" s="860"/>
      <c r="F140" s="860"/>
      <c r="G140" s="860"/>
      <c r="H140" s="860"/>
      <c r="I140" s="860"/>
      <c r="J140" s="860"/>
      <c r="K140" s="860"/>
      <c r="L140" s="860"/>
      <c r="M140" s="860"/>
      <c r="N140" s="860"/>
      <c r="O140" s="860"/>
      <c r="P140" s="860"/>
      <c r="Q140" s="860"/>
      <c r="R140" s="860"/>
      <c r="S140" s="860"/>
      <c r="T140" s="860"/>
      <c r="U140" s="860"/>
      <c r="V140" s="860"/>
      <c r="W140" s="860"/>
      <c r="X140" s="860"/>
      <c r="Y140" s="860"/>
      <c r="Z140" s="860"/>
      <c r="AA140" s="860"/>
      <c r="AB140" s="860"/>
      <c r="AC140" s="860"/>
      <c r="AD140" s="860"/>
      <c r="AE140" s="860"/>
      <c r="AF140" s="860"/>
      <c r="AG140" s="860"/>
      <c r="AH140" s="860"/>
      <c r="AI140" s="860"/>
      <c r="AJ140" s="860"/>
      <c r="AK140" s="860"/>
      <c r="AL140" s="860"/>
      <c r="AM140" s="860"/>
      <c r="AN140" s="860"/>
      <c r="AO140" s="860"/>
      <c r="AP140" s="860"/>
      <c r="AQ140" s="860"/>
      <c r="AR140" s="860"/>
      <c r="AS140" s="860"/>
      <c r="AT140" s="860"/>
      <c r="AU140" s="860"/>
      <c r="AV140" s="860"/>
      <c r="AW140" s="860"/>
      <c r="AX140" s="860"/>
      <c r="AY140" s="860"/>
      <c r="AZ140" s="860"/>
    </row>
    <row r="141" spans="1:52" ht="15" customHeight="1" x14ac:dyDescent="0.25">
      <c r="A141" s="860"/>
      <c r="B141" s="860"/>
      <c r="C141" s="860"/>
      <c r="D141" s="860"/>
      <c r="E141" s="860"/>
      <c r="F141" s="860"/>
      <c r="G141" s="860"/>
      <c r="H141" s="860"/>
      <c r="I141" s="860"/>
      <c r="J141" s="860"/>
      <c r="K141" s="860"/>
      <c r="L141" s="860"/>
      <c r="M141" s="860"/>
      <c r="N141" s="860"/>
      <c r="O141" s="860"/>
      <c r="P141" s="860"/>
      <c r="Q141" s="860"/>
      <c r="R141" s="860"/>
      <c r="S141" s="860"/>
      <c r="T141" s="860"/>
      <c r="U141" s="860"/>
      <c r="V141" s="860"/>
      <c r="W141" s="860"/>
      <c r="X141" s="860"/>
      <c r="Y141" s="860"/>
      <c r="Z141" s="860"/>
      <c r="AA141" s="860"/>
      <c r="AB141" s="860"/>
      <c r="AC141" s="860"/>
      <c r="AD141" s="860"/>
      <c r="AE141" s="860"/>
      <c r="AF141" s="860"/>
      <c r="AG141" s="860"/>
      <c r="AH141" s="860"/>
      <c r="AI141" s="860"/>
      <c r="AJ141" s="860"/>
      <c r="AK141" s="860"/>
      <c r="AL141" s="860"/>
      <c r="AM141" s="860"/>
      <c r="AN141" s="860"/>
      <c r="AO141" s="860"/>
      <c r="AP141" s="860"/>
      <c r="AQ141" s="860"/>
      <c r="AR141" s="860"/>
      <c r="AS141" s="860"/>
      <c r="AT141" s="860"/>
      <c r="AU141" s="860"/>
      <c r="AV141" s="860"/>
      <c r="AW141" s="860"/>
      <c r="AX141" s="860"/>
      <c r="AY141" s="860"/>
      <c r="AZ141" s="860"/>
    </row>
    <row r="142" spans="1:52" ht="15" customHeight="1" x14ac:dyDescent="0.25">
      <c r="A142" s="860"/>
      <c r="B142" s="860"/>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0"/>
      <c r="AL142" s="860"/>
      <c r="AM142" s="860"/>
      <c r="AN142" s="860"/>
      <c r="AO142" s="860"/>
      <c r="AP142" s="860"/>
      <c r="AQ142" s="860"/>
      <c r="AR142" s="860"/>
      <c r="AS142" s="860"/>
      <c r="AT142" s="860"/>
      <c r="AU142" s="860"/>
      <c r="AV142" s="860"/>
      <c r="AW142" s="860"/>
      <c r="AX142" s="860"/>
      <c r="AY142" s="860"/>
      <c r="AZ142" s="860"/>
    </row>
    <row r="143" spans="1:52" ht="15" customHeight="1" x14ac:dyDescent="0.25">
      <c r="A143" s="860"/>
      <c r="B143" s="860"/>
      <c r="C143" s="860"/>
      <c r="D143" s="860"/>
      <c r="E143" s="860"/>
      <c r="F143" s="860"/>
      <c r="G143" s="860"/>
      <c r="H143" s="860"/>
      <c r="I143" s="860"/>
      <c r="J143" s="860"/>
      <c r="K143" s="860"/>
      <c r="L143" s="860"/>
      <c r="M143" s="860"/>
      <c r="N143" s="860"/>
      <c r="O143" s="860"/>
      <c r="P143" s="860"/>
      <c r="Q143" s="860"/>
      <c r="R143" s="860"/>
      <c r="S143" s="860"/>
      <c r="T143" s="860"/>
      <c r="U143" s="860"/>
      <c r="V143" s="860"/>
      <c r="W143" s="860"/>
      <c r="X143" s="860"/>
      <c r="Y143" s="860"/>
      <c r="Z143" s="860"/>
      <c r="AA143" s="860"/>
      <c r="AB143" s="860"/>
      <c r="AC143" s="860"/>
      <c r="AD143" s="860"/>
      <c r="AE143" s="860"/>
      <c r="AF143" s="860"/>
      <c r="AG143" s="860"/>
      <c r="AH143" s="860"/>
      <c r="AI143" s="860"/>
      <c r="AJ143" s="860"/>
      <c r="AK143" s="860"/>
      <c r="AL143" s="860"/>
      <c r="AM143" s="860"/>
      <c r="AN143" s="860"/>
      <c r="AO143" s="860"/>
      <c r="AP143" s="860"/>
      <c r="AQ143" s="860"/>
      <c r="AR143" s="860"/>
      <c r="AS143" s="860"/>
      <c r="AT143" s="860"/>
      <c r="AU143" s="860"/>
      <c r="AV143" s="860"/>
      <c r="AW143" s="860"/>
      <c r="AX143" s="860"/>
      <c r="AY143" s="860"/>
      <c r="AZ143" s="860"/>
    </row>
    <row r="144" spans="1:52" ht="15" customHeight="1" x14ac:dyDescent="0.25">
      <c r="A144" s="860"/>
      <c r="B144" s="860"/>
      <c r="C144" s="860"/>
      <c r="D144" s="860"/>
      <c r="E144" s="860"/>
      <c r="F144" s="860"/>
      <c r="G144" s="860"/>
      <c r="H144" s="860"/>
      <c r="I144" s="860"/>
      <c r="J144" s="860"/>
      <c r="K144" s="860"/>
      <c r="L144" s="860"/>
      <c r="M144" s="860"/>
      <c r="N144" s="860"/>
      <c r="O144" s="860"/>
      <c r="P144" s="860"/>
      <c r="Q144" s="860"/>
      <c r="R144" s="860"/>
      <c r="S144" s="860"/>
      <c r="T144" s="860"/>
      <c r="U144" s="860"/>
      <c r="V144" s="860"/>
      <c r="W144" s="860"/>
      <c r="X144" s="860"/>
      <c r="Y144" s="860"/>
      <c r="Z144" s="860"/>
      <c r="AA144" s="860"/>
      <c r="AB144" s="860"/>
      <c r="AC144" s="860"/>
      <c r="AD144" s="860"/>
      <c r="AE144" s="860"/>
      <c r="AF144" s="860"/>
      <c r="AG144" s="860"/>
      <c r="AH144" s="860"/>
      <c r="AI144" s="860"/>
      <c r="AJ144" s="860"/>
      <c r="AK144" s="860"/>
      <c r="AL144" s="860"/>
      <c r="AM144" s="860"/>
      <c r="AN144" s="860"/>
      <c r="AO144" s="860"/>
      <c r="AP144" s="860"/>
      <c r="AQ144" s="860"/>
      <c r="AR144" s="860"/>
      <c r="AS144" s="860"/>
      <c r="AT144" s="860"/>
      <c r="AU144" s="860"/>
      <c r="AV144" s="860"/>
      <c r="AW144" s="860"/>
      <c r="AX144" s="860"/>
      <c r="AY144" s="860"/>
      <c r="AZ144" s="860"/>
    </row>
    <row r="145" spans="1:52" ht="15" customHeight="1" x14ac:dyDescent="0.25">
      <c r="A145" s="860"/>
      <c r="B145" s="860"/>
      <c r="C145" s="860"/>
      <c r="D145" s="860"/>
      <c r="E145" s="860"/>
      <c r="F145" s="860"/>
      <c r="G145" s="860"/>
      <c r="H145" s="860"/>
      <c r="I145" s="860"/>
      <c r="J145" s="860"/>
      <c r="K145" s="860"/>
      <c r="L145" s="860"/>
      <c r="M145" s="860"/>
      <c r="N145" s="860"/>
      <c r="O145" s="860"/>
      <c r="P145" s="860"/>
      <c r="Q145" s="860"/>
      <c r="R145" s="860"/>
      <c r="S145" s="860"/>
      <c r="T145" s="860"/>
      <c r="U145" s="860"/>
      <c r="V145" s="860"/>
      <c r="W145" s="860"/>
      <c r="X145" s="860"/>
      <c r="Y145" s="860"/>
      <c r="Z145" s="860"/>
      <c r="AA145" s="860"/>
      <c r="AB145" s="860"/>
      <c r="AC145" s="860"/>
      <c r="AD145" s="860"/>
      <c r="AE145" s="860"/>
      <c r="AF145" s="860"/>
      <c r="AG145" s="860"/>
      <c r="AH145" s="860"/>
      <c r="AI145" s="860"/>
      <c r="AJ145" s="860"/>
      <c r="AK145" s="860"/>
      <c r="AL145" s="860"/>
      <c r="AM145" s="860"/>
      <c r="AN145" s="860"/>
      <c r="AO145" s="860"/>
      <c r="AP145" s="860"/>
      <c r="AQ145" s="860"/>
      <c r="AR145" s="860"/>
      <c r="AS145" s="860"/>
      <c r="AT145" s="860"/>
      <c r="AU145" s="860"/>
      <c r="AV145" s="860"/>
      <c r="AW145" s="860"/>
      <c r="AX145" s="860"/>
      <c r="AY145" s="860"/>
      <c r="AZ145" s="860"/>
    </row>
    <row r="146" spans="1:52" ht="15" customHeight="1" x14ac:dyDescent="0.25">
      <c r="A146" s="860"/>
      <c r="B146" s="860"/>
      <c r="C146" s="860"/>
      <c r="D146" s="860"/>
      <c r="E146" s="860"/>
      <c r="F146" s="860"/>
      <c r="G146" s="860"/>
      <c r="H146" s="860"/>
      <c r="I146" s="860"/>
      <c r="J146" s="860"/>
      <c r="K146" s="860"/>
      <c r="L146" s="860"/>
      <c r="M146" s="860"/>
      <c r="N146" s="860"/>
      <c r="O146" s="860"/>
      <c r="P146" s="860"/>
      <c r="Q146" s="860"/>
      <c r="R146" s="860"/>
      <c r="S146" s="860"/>
      <c r="T146" s="860"/>
      <c r="U146" s="860"/>
      <c r="V146" s="860"/>
      <c r="W146" s="860"/>
      <c r="X146" s="860"/>
      <c r="Y146" s="860"/>
      <c r="Z146" s="860"/>
      <c r="AA146" s="860"/>
      <c r="AB146" s="860"/>
      <c r="AC146" s="860"/>
      <c r="AD146" s="860"/>
      <c r="AE146" s="860"/>
      <c r="AF146" s="860"/>
      <c r="AG146" s="860"/>
      <c r="AH146" s="860"/>
      <c r="AI146" s="860"/>
      <c r="AJ146" s="860"/>
      <c r="AK146" s="860"/>
      <c r="AL146" s="860"/>
      <c r="AM146" s="860"/>
      <c r="AN146" s="860"/>
      <c r="AO146" s="860"/>
      <c r="AP146" s="860"/>
      <c r="AQ146" s="860"/>
      <c r="AR146" s="860"/>
      <c r="AS146" s="860"/>
      <c r="AT146" s="860"/>
      <c r="AU146" s="860"/>
      <c r="AV146" s="860"/>
      <c r="AW146" s="860"/>
      <c r="AX146" s="860"/>
      <c r="AY146" s="860"/>
      <c r="AZ146" s="860"/>
    </row>
    <row r="147" spans="1:52" ht="15" customHeight="1" x14ac:dyDescent="0.25">
      <c r="A147" s="860"/>
      <c r="B147" s="860"/>
      <c r="C147" s="860"/>
      <c r="D147" s="860"/>
      <c r="E147" s="860"/>
      <c r="F147" s="860"/>
      <c r="G147" s="860"/>
      <c r="H147" s="860"/>
      <c r="I147" s="860"/>
      <c r="J147" s="860"/>
      <c r="K147" s="860"/>
      <c r="L147" s="860"/>
      <c r="M147" s="860"/>
      <c r="N147" s="860"/>
      <c r="O147" s="860"/>
      <c r="P147" s="860"/>
      <c r="Q147" s="860"/>
      <c r="R147" s="860"/>
      <c r="S147" s="860"/>
      <c r="T147" s="860"/>
      <c r="U147" s="860"/>
      <c r="V147" s="860"/>
      <c r="W147" s="860"/>
      <c r="X147" s="860"/>
      <c r="Y147" s="860"/>
      <c r="Z147" s="860"/>
      <c r="AA147" s="860"/>
      <c r="AB147" s="860"/>
      <c r="AC147" s="860"/>
      <c r="AD147" s="860"/>
      <c r="AE147" s="860"/>
      <c r="AF147" s="860"/>
      <c r="AG147" s="860"/>
      <c r="AH147" s="860"/>
      <c r="AI147" s="860"/>
      <c r="AJ147" s="860"/>
      <c r="AK147" s="860"/>
      <c r="AL147" s="860"/>
      <c r="AM147" s="860"/>
      <c r="AN147" s="860"/>
      <c r="AO147" s="860"/>
      <c r="AP147" s="860"/>
      <c r="AQ147" s="860"/>
      <c r="AR147" s="860"/>
      <c r="AS147" s="860"/>
      <c r="AT147" s="860"/>
      <c r="AU147" s="860"/>
      <c r="AV147" s="860"/>
      <c r="AW147" s="860"/>
      <c r="AX147" s="860"/>
      <c r="AY147" s="860"/>
      <c r="AZ147" s="860"/>
    </row>
    <row r="148" spans="1:52" ht="15" customHeight="1" x14ac:dyDescent="0.25">
      <c r="A148" s="860"/>
      <c r="B148" s="860"/>
      <c r="C148" s="860"/>
      <c r="D148" s="860"/>
      <c r="E148" s="860"/>
      <c r="F148" s="860"/>
      <c r="G148" s="860"/>
      <c r="H148" s="860"/>
      <c r="I148" s="860"/>
      <c r="J148" s="860"/>
      <c r="K148" s="860"/>
      <c r="L148" s="860"/>
      <c r="M148" s="860"/>
      <c r="N148" s="860"/>
      <c r="O148" s="860"/>
      <c r="P148" s="860"/>
      <c r="Q148" s="860"/>
      <c r="R148" s="860"/>
      <c r="S148" s="860"/>
      <c r="T148" s="860"/>
      <c r="U148" s="860"/>
      <c r="V148" s="860"/>
      <c r="W148" s="860"/>
      <c r="X148" s="860"/>
      <c r="Y148" s="860"/>
      <c r="Z148" s="860"/>
      <c r="AA148" s="860"/>
      <c r="AB148" s="860"/>
      <c r="AC148" s="860"/>
      <c r="AD148" s="860"/>
      <c r="AE148" s="860"/>
      <c r="AF148" s="860"/>
      <c r="AG148" s="860"/>
      <c r="AH148" s="860"/>
      <c r="AI148" s="860"/>
      <c r="AJ148" s="860"/>
      <c r="AK148" s="860"/>
      <c r="AL148" s="860"/>
      <c r="AM148" s="860"/>
      <c r="AN148" s="860"/>
      <c r="AO148" s="860"/>
      <c r="AP148" s="860"/>
      <c r="AQ148" s="860"/>
      <c r="AR148" s="860"/>
      <c r="AS148" s="860"/>
      <c r="AT148" s="860"/>
      <c r="AU148" s="860"/>
      <c r="AV148" s="860"/>
      <c r="AW148" s="860"/>
      <c r="AX148" s="860"/>
      <c r="AY148" s="860"/>
      <c r="AZ148" s="860"/>
    </row>
    <row r="149" spans="1:52" ht="15" customHeight="1" x14ac:dyDescent="0.25">
      <c r="A149" s="860"/>
      <c r="B149" s="860"/>
      <c r="C149" s="860"/>
      <c r="D149" s="860"/>
      <c r="E149" s="860"/>
      <c r="F149" s="860"/>
      <c r="G149" s="860"/>
      <c r="H149" s="860"/>
      <c r="I149" s="860"/>
      <c r="J149" s="860"/>
      <c r="K149" s="860"/>
      <c r="L149" s="860"/>
      <c r="M149" s="860"/>
      <c r="N149" s="860"/>
      <c r="O149" s="860"/>
      <c r="P149" s="860"/>
      <c r="Q149" s="860"/>
      <c r="R149" s="860"/>
      <c r="S149" s="860"/>
      <c r="T149" s="860"/>
      <c r="U149" s="860"/>
      <c r="V149" s="860"/>
      <c r="W149" s="860"/>
      <c r="X149" s="860"/>
      <c r="Y149" s="860"/>
      <c r="Z149" s="860"/>
      <c r="AA149" s="860"/>
      <c r="AB149" s="860"/>
      <c r="AC149" s="860"/>
      <c r="AD149" s="860"/>
      <c r="AE149" s="860"/>
      <c r="AF149" s="860"/>
      <c r="AG149" s="860"/>
      <c r="AH149" s="860"/>
      <c r="AI149" s="860"/>
      <c r="AJ149" s="860"/>
      <c r="AK149" s="860"/>
      <c r="AL149" s="860"/>
      <c r="AM149" s="860"/>
      <c r="AN149" s="860"/>
      <c r="AO149" s="860"/>
      <c r="AP149" s="860"/>
      <c r="AQ149" s="860"/>
      <c r="AR149" s="860"/>
      <c r="AS149" s="860"/>
      <c r="AT149" s="860"/>
      <c r="AU149" s="860"/>
      <c r="AV149" s="860"/>
      <c r="AW149" s="860"/>
      <c r="AX149" s="860"/>
      <c r="AY149" s="860"/>
      <c r="AZ149" s="860"/>
    </row>
    <row r="150" spans="1:52" ht="15" customHeight="1" x14ac:dyDescent="0.25">
      <c r="A150" s="860"/>
      <c r="B150" s="860"/>
      <c r="C150" s="860"/>
      <c r="D150" s="860"/>
      <c r="E150" s="860"/>
      <c r="F150" s="860"/>
      <c r="G150" s="860"/>
      <c r="H150" s="860"/>
      <c r="I150" s="860"/>
      <c r="J150" s="860"/>
      <c r="K150" s="860"/>
      <c r="L150" s="860"/>
      <c r="M150" s="860"/>
      <c r="N150" s="860"/>
      <c r="O150" s="860"/>
      <c r="P150" s="860"/>
      <c r="Q150" s="860"/>
      <c r="R150" s="860"/>
      <c r="S150" s="860"/>
      <c r="T150" s="860"/>
      <c r="U150" s="860"/>
      <c r="V150" s="860"/>
      <c r="W150" s="860"/>
      <c r="X150" s="860"/>
      <c r="Y150" s="860"/>
      <c r="Z150" s="860"/>
      <c r="AA150" s="860"/>
      <c r="AB150" s="860"/>
      <c r="AC150" s="860"/>
      <c r="AD150" s="860"/>
      <c r="AE150" s="860"/>
      <c r="AF150" s="860"/>
      <c r="AG150" s="860"/>
      <c r="AH150" s="860"/>
      <c r="AI150" s="860"/>
      <c r="AJ150" s="860"/>
      <c r="AK150" s="860"/>
      <c r="AL150" s="860"/>
      <c r="AM150" s="860"/>
      <c r="AN150" s="860"/>
      <c r="AO150" s="860"/>
      <c r="AP150" s="860"/>
      <c r="AQ150" s="860"/>
      <c r="AR150" s="860"/>
      <c r="AS150" s="860"/>
      <c r="AT150" s="860"/>
      <c r="AU150" s="860"/>
      <c r="AV150" s="860"/>
      <c r="AW150" s="860"/>
      <c r="AX150" s="860"/>
      <c r="AY150" s="860"/>
      <c r="AZ150" s="860"/>
    </row>
    <row r="151" spans="1:52" ht="15" customHeight="1" x14ac:dyDescent="0.25">
      <c r="A151" s="860"/>
      <c r="B151" s="860"/>
      <c r="C151" s="860"/>
      <c r="D151" s="860"/>
      <c r="E151" s="860"/>
      <c r="F151" s="860"/>
      <c r="G151" s="860"/>
      <c r="H151" s="860"/>
      <c r="I151" s="860"/>
      <c r="J151" s="860"/>
      <c r="K151" s="860"/>
      <c r="L151" s="860"/>
      <c r="M151" s="860"/>
      <c r="N151" s="860"/>
      <c r="O151" s="860"/>
      <c r="P151" s="860"/>
      <c r="Q151" s="860"/>
      <c r="R151" s="860"/>
      <c r="S151" s="860"/>
      <c r="T151" s="860"/>
      <c r="U151" s="860"/>
      <c r="V151" s="860"/>
      <c r="W151" s="860"/>
      <c r="X151" s="860"/>
      <c r="Y151" s="860"/>
      <c r="Z151" s="860"/>
      <c r="AA151" s="860"/>
      <c r="AB151" s="860"/>
      <c r="AC151" s="860"/>
      <c r="AD151" s="860"/>
      <c r="AE151" s="860"/>
      <c r="AF151" s="860"/>
      <c r="AG151" s="860"/>
      <c r="AH151" s="860"/>
      <c r="AI151" s="860"/>
      <c r="AJ151" s="860"/>
      <c r="AK151" s="860"/>
      <c r="AL151" s="860"/>
      <c r="AM151" s="860"/>
      <c r="AN151" s="860"/>
      <c r="AO151" s="860"/>
      <c r="AP151" s="860"/>
      <c r="AQ151" s="860"/>
      <c r="AR151" s="860"/>
      <c r="AS151" s="860"/>
      <c r="AT151" s="860"/>
      <c r="AU151" s="860"/>
      <c r="AV151" s="860"/>
      <c r="AW151" s="860"/>
      <c r="AX151" s="860"/>
      <c r="AY151" s="860"/>
      <c r="AZ151" s="860"/>
    </row>
    <row r="152" spans="1:52" ht="15" customHeight="1" x14ac:dyDescent="0.25">
      <c r="A152" s="860"/>
      <c r="B152" s="860"/>
      <c r="C152" s="860"/>
      <c r="D152" s="860"/>
      <c r="E152" s="860"/>
      <c r="F152" s="860"/>
      <c r="G152" s="860"/>
      <c r="H152" s="860"/>
      <c r="I152" s="860"/>
      <c r="J152" s="860"/>
      <c r="K152" s="860"/>
      <c r="L152" s="860"/>
      <c r="M152" s="860"/>
      <c r="N152" s="860"/>
      <c r="O152" s="860"/>
      <c r="P152" s="860"/>
      <c r="Q152" s="860"/>
      <c r="R152" s="860"/>
      <c r="S152" s="860"/>
      <c r="T152" s="860"/>
      <c r="U152" s="860"/>
      <c r="V152" s="860"/>
      <c r="W152" s="860"/>
      <c r="X152" s="860"/>
      <c r="Y152" s="860"/>
      <c r="Z152" s="860"/>
      <c r="AA152" s="860"/>
      <c r="AB152" s="860"/>
      <c r="AC152" s="860"/>
      <c r="AD152" s="860"/>
      <c r="AE152" s="860"/>
      <c r="AF152" s="860"/>
      <c r="AG152" s="860"/>
      <c r="AH152" s="860"/>
      <c r="AI152" s="860"/>
      <c r="AJ152" s="860"/>
      <c r="AK152" s="860"/>
      <c r="AL152" s="860"/>
      <c r="AM152" s="860"/>
      <c r="AN152" s="860"/>
      <c r="AO152" s="860"/>
      <c r="AP152" s="860"/>
      <c r="AQ152" s="860"/>
      <c r="AR152" s="860"/>
      <c r="AS152" s="860"/>
      <c r="AT152" s="860"/>
      <c r="AU152" s="860"/>
      <c r="AV152" s="860"/>
      <c r="AW152" s="860"/>
      <c r="AX152" s="860"/>
      <c r="AY152" s="860"/>
      <c r="AZ152" s="860"/>
    </row>
    <row r="153" spans="1:52" ht="15" customHeight="1" x14ac:dyDescent="0.25">
      <c r="A153" s="860"/>
      <c r="B153" s="860"/>
      <c r="C153" s="860"/>
      <c r="D153" s="860"/>
      <c r="E153" s="860"/>
      <c r="F153" s="860"/>
      <c r="G153" s="860"/>
      <c r="H153" s="860"/>
      <c r="I153" s="860"/>
      <c r="J153" s="860"/>
      <c r="K153" s="860"/>
      <c r="L153" s="860"/>
      <c r="M153" s="860"/>
      <c r="N153" s="860"/>
      <c r="O153" s="860"/>
      <c r="P153" s="860"/>
      <c r="Q153" s="860"/>
      <c r="R153" s="860"/>
      <c r="S153" s="860"/>
      <c r="T153" s="860"/>
      <c r="U153" s="860"/>
      <c r="V153" s="860"/>
      <c r="W153" s="860"/>
      <c r="X153" s="860"/>
      <c r="Y153" s="860"/>
      <c r="Z153" s="860"/>
      <c r="AA153" s="860"/>
      <c r="AB153" s="860"/>
      <c r="AC153" s="860"/>
      <c r="AD153" s="860"/>
      <c r="AE153" s="860"/>
      <c r="AF153" s="860"/>
      <c r="AG153" s="860"/>
      <c r="AH153" s="860"/>
      <c r="AI153" s="860"/>
      <c r="AJ153" s="860"/>
      <c r="AK153" s="860"/>
      <c r="AL153" s="860"/>
      <c r="AM153" s="860"/>
      <c r="AN153" s="860"/>
      <c r="AO153" s="860"/>
      <c r="AP153" s="860"/>
      <c r="AQ153" s="860"/>
      <c r="AR153" s="860"/>
      <c r="AS153" s="860"/>
      <c r="AT153" s="860"/>
      <c r="AU153" s="860"/>
      <c r="AV153" s="860"/>
      <c r="AW153" s="860"/>
      <c r="AX153" s="860"/>
      <c r="AY153" s="860"/>
      <c r="AZ153" s="860"/>
    </row>
    <row r="154" spans="1:52" ht="15" customHeight="1" x14ac:dyDescent="0.25">
      <c r="A154" s="860"/>
      <c r="B154" s="860"/>
      <c r="C154" s="860"/>
      <c r="D154" s="860"/>
      <c r="E154" s="860"/>
      <c r="F154" s="860"/>
      <c r="G154" s="860"/>
      <c r="H154" s="860"/>
      <c r="I154" s="860"/>
      <c r="J154" s="860"/>
      <c r="K154" s="860"/>
      <c r="L154" s="860"/>
      <c r="M154" s="860"/>
      <c r="N154" s="860"/>
      <c r="O154" s="860"/>
      <c r="P154" s="860"/>
      <c r="Q154" s="860"/>
      <c r="R154" s="860"/>
      <c r="S154" s="860"/>
      <c r="T154" s="860"/>
      <c r="U154" s="860"/>
      <c r="V154" s="860"/>
      <c r="W154" s="860"/>
      <c r="X154" s="860"/>
      <c r="Y154" s="860"/>
      <c r="Z154" s="860"/>
      <c r="AA154" s="860"/>
      <c r="AB154" s="860"/>
      <c r="AC154" s="860"/>
      <c r="AD154" s="860"/>
      <c r="AE154" s="860"/>
      <c r="AF154" s="860"/>
      <c r="AG154" s="860"/>
      <c r="AH154" s="860"/>
      <c r="AI154" s="860"/>
      <c r="AJ154" s="860"/>
      <c r="AK154" s="860"/>
      <c r="AL154" s="860"/>
      <c r="AM154" s="860"/>
      <c r="AN154" s="860"/>
      <c r="AO154" s="860"/>
      <c r="AP154" s="860"/>
      <c r="AQ154" s="860"/>
      <c r="AR154" s="860"/>
      <c r="AS154" s="860"/>
      <c r="AT154" s="860"/>
      <c r="AU154" s="860"/>
      <c r="AV154" s="860"/>
      <c r="AW154" s="860"/>
      <c r="AX154" s="860"/>
      <c r="AY154" s="860"/>
      <c r="AZ154" s="860"/>
    </row>
    <row r="155" spans="1:52" ht="15" customHeight="1" x14ac:dyDescent="0.25">
      <c r="A155" s="860"/>
      <c r="B155" s="860"/>
      <c r="C155" s="860"/>
      <c r="D155" s="860"/>
      <c r="E155" s="860"/>
      <c r="F155" s="860"/>
      <c r="G155" s="860"/>
      <c r="H155" s="860"/>
      <c r="I155" s="860"/>
      <c r="J155" s="860"/>
      <c r="K155" s="860"/>
      <c r="L155" s="860"/>
      <c r="M155" s="860"/>
      <c r="N155" s="860"/>
      <c r="O155" s="860"/>
      <c r="P155" s="860"/>
      <c r="Q155" s="860"/>
      <c r="R155" s="860"/>
      <c r="S155" s="860"/>
      <c r="T155" s="860"/>
      <c r="U155" s="860"/>
      <c r="V155" s="860"/>
      <c r="W155" s="860"/>
      <c r="X155" s="860"/>
      <c r="Y155" s="860"/>
      <c r="Z155" s="860"/>
      <c r="AA155" s="860"/>
      <c r="AB155" s="860"/>
      <c r="AC155" s="860"/>
      <c r="AD155" s="860"/>
      <c r="AE155" s="860"/>
      <c r="AF155" s="860"/>
      <c r="AG155" s="860"/>
      <c r="AH155" s="860"/>
      <c r="AI155" s="860"/>
      <c r="AJ155" s="860"/>
      <c r="AK155" s="860"/>
      <c r="AL155" s="860"/>
      <c r="AM155" s="860"/>
      <c r="AN155" s="860"/>
      <c r="AO155" s="860"/>
      <c r="AP155" s="860"/>
      <c r="AQ155" s="860"/>
      <c r="AR155" s="860"/>
      <c r="AS155" s="860"/>
      <c r="AT155" s="860"/>
      <c r="AU155" s="860"/>
      <c r="AV155" s="860"/>
      <c r="AW155" s="860"/>
      <c r="AX155" s="860"/>
      <c r="AY155" s="860"/>
      <c r="AZ155" s="860"/>
    </row>
    <row r="156" spans="1:52" ht="15" customHeight="1" x14ac:dyDescent="0.25">
      <c r="A156" s="860"/>
      <c r="B156" s="860"/>
      <c r="C156" s="860"/>
      <c r="D156" s="860"/>
      <c r="E156" s="860"/>
      <c r="F156" s="860"/>
      <c r="G156" s="860"/>
      <c r="H156" s="860"/>
      <c r="I156" s="860"/>
      <c r="J156" s="860"/>
      <c r="K156" s="860"/>
      <c r="L156" s="860"/>
      <c r="M156" s="860"/>
      <c r="N156" s="860"/>
      <c r="O156" s="860"/>
      <c r="P156" s="860"/>
      <c r="Q156" s="860"/>
      <c r="R156" s="860"/>
      <c r="S156" s="860"/>
      <c r="T156" s="860"/>
      <c r="U156" s="860"/>
      <c r="V156" s="860"/>
      <c r="W156" s="860"/>
      <c r="X156" s="860"/>
      <c r="Y156" s="860"/>
      <c r="Z156" s="860"/>
      <c r="AA156" s="860"/>
      <c r="AB156" s="860"/>
      <c r="AC156" s="860"/>
      <c r="AD156" s="860"/>
      <c r="AE156" s="860"/>
      <c r="AF156" s="860"/>
      <c r="AG156" s="860"/>
      <c r="AH156" s="860"/>
      <c r="AI156" s="860"/>
      <c r="AJ156" s="860"/>
      <c r="AK156" s="860"/>
      <c r="AL156" s="860"/>
      <c r="AM156" s="860"/>
      <c r="AN156" s="860"/>
      <c r="AO156" s="860"/>
      <c r="AP156" s="860"/>
      <c r="AQ156" s="860"/>
      <c r="AR156" s="860"/>
      <c r="AS156" s="860"/>
      <c r="AT156" s="860"/>
      <c r="AU156" s="860"/>
      <c r="AV156" s="860"/>
      <c r="AW156" s="860"/>
      <c r="AX156" s="860"/>
      <c r="AY156" s="860"/>
      <c r="AZ156" s="860"/>
    </row>
    <row r="157" spans="1:52" ht="15" customHeight="1" x14ac:dyDescent="0.25">
      <c r="A157" s="860"/>
      <c r="B157" s="860"/>
      <c r="C157" s="860"/>
      <c r="D157" s="860"/>
      <c r="E157" s="860"/>
      <c r="F157" s="860"/>
      <c r="G157" s="860"/>
      <c r="H157" s="860"/>
      <c r="I157" s="860"/>
      <c r="J157" s="860"/>
      <c r="K157" s="860"/>
      <c r="L157" s="860"/>
      <c r="M157" s="860"/>
      <c r="N157" s="860"/>
      <c r="O157" s="860"/>
      <c r="P157" s="860"/>
      <c r="Q157" s="860"/>
      <c r="R157" s="860"/>
      <c r="S157" s="860"/>
      <c r="T157" s="860"/>
      <c r="U157" s="860"/>
      <c r="V157" s="860"/>
      <c r="W157" s="860"/>
      <c r="X157" s="860"/>
      <c r="Y157" s="860"/>
      <c r="Z157" s="860"/>
      <c r="AA157" s="860"/>
      <c r="AB157" s="860"/>
      <c r="AC157" s="860"/>
      <c r="AD157" s="860"/>
      <c r="AE157" s="860"/>
      <c r="AF157" s="860"/>
      <c r="AG157" s="860"/>
      <c r="AH157" s="860"/>
      <c r="AI157" s="860"/>
      <c r="AJ157" s="860"/>
      <c r="AK157" s="860"/>
      <c r="AL157" s="860"/>
      <c r="AM157" s="860"/>
      <c r="AN157" s="860"/>
      <c r="AO157" s="860"/>
      <c r="AP157" s="860"/>
      <c r="AQ157" s="860"/>
      <c r="AR157" s="860"/>
      <c r="AS157" s="860"/>
      <c r="AT157" s="860"/>
      <c r="AU157" s="860"/>
      <c r="AV157" s="860"/>
      <c r="AW157" s="860"/>
      <c r="AX157" s="860"/>
      <c r="AY157" s="860"/>
      <c r="AZ157" s="860"/>
    </row>
    <row r="158" spans="1:52" ht="15" customHeight="1" x14ac:dyDescent="0.25">
      <c r="A158" s="860"/>
      <c r="B158" s="860"/>
      <c r="C158" s="860"/>
      <c r="D158" s="860"/>
      <c r="E158" s="860"/>
      <c r="F158" s="860"/>
      <c r="G158" s="860"/>
      <c r="H158" s="860"/>
      <c r="I158" s="860"/>
      <c r="J158" s="860"/>
      <c r="K158" s="860"/>
      <c r="L158" s="860"/>
      <c r="M158" s="860"/>
      <c r="N158" s="860"/>
      <c r="O158" s="860"/>
      <c r="P158" s="860"/>
      <c r="Q158" s="860"/>
      <c r="R158" s="860"/>
      <c r="S158" s="860"/>
      <c r="T158" s="860"/>
      <c r="U158" s="860"/>
      <c r="V158" s="860"/>
      <c r="W158" s="860"/>
      <c r="X158" s="860"/>
      <c r="Y158" s="860"/>
      <c r="Z158" s="860"/>
      <c r="AA158" s="860"/>
      <c r="AB158" s="860"/>
      <c r="AC158" s="860"/>
      <c r="AD158" s="860"/>
      <c r="AE158" s="860"/>
      <c r="AF158" s="860"/>
      <c r="AG158" s="860"/>
      <c r="AH158" s="860"/>
      <c r="AI158" s="860"/>
      <c r="AJ158" s="860"/>
      <c r="AK158" s="860"/>
      <c r="AL158" s="860"/>
      <c r="AM158" s="860"/>
      <c r="AN158" s="860"/>
      <c r="AO158" s="860"/>
      <c r="AP158" s="860"/>
      <c r="AQ158" s="860"/>
      <c r="AR158" s="860"/>
      <c r="AS158" s="860"/>
      <c r="AT158" s="860"/>
      <c r="AU158" s="860"/>
      <c r="AV158" s="860"/>
      <c r="AW158" s="860"/>
      <c r="AX158" s="860"/>
      <c r="AY158" s="860"/>
      <c r="AZ158" s="860"/>
    </row>
    <row r="159" spans="1:52" ht="15" customHeight="1" x14ac:dyDescent="0.25">
      <c r="A159" s="860"/>
      <c r="B159" s="860"/>
      <c r="C159" s="860"/>
      <c r="D159" s="860"/>
      <c r="E159" s="860"/>
      <c r="F159" s="860"/>
      <c r="G159" s="860"/>
      <c r="H159" s="860"/>
      <c r="I159" s="860"/>
      <c r="J159" s="860"/>
      <c r="K159" s="860"/>
      <c r="L159" s="860"/>
      <c r="M159" s="860"/>
      <c r="N159" s="860"/>
      <c r="O159" s="860"/>
      <c r="P159" s="860"/>
      <c r="Q159" s="860"/>
      <c r="R159" s="860"/>
      <c r="S159" s="860"/>
      <c r="T159" s="860"/>
      <c r="U159" s="860"/>
      <c r="V159" s="860"/>
      <c r="W159" s="860"/>
      <c r="X159" s="860"/>
      <c r="Y159" s="860"/>
      <c r="Z159" s="860"/>
      <c r="AA159" s="860"/>
      <c r="AB159" s="860"/>
      <c r="AC159" s="860"/>
      <c r="AD159" s="860"/>
      <c r="AE159" s="860"/>
      <c r="AF159" s="860"/>
      <c r="AG159" s="860"/>
      <c r="AH159" s="860"/>
      <c r="AI159" s="860"/>
      <c r="AJ159" s="860"/>
      <c r="AK159" s="860"/>
      <c r="AL159" s="860"/>
      <c r="AM159" s="860"/>
      <c r="AN159" s="860"/>
      <c r="AO159" s="860"/>
      <c r="AP159" s="860"/>
      <c r="AQ159" s="860"/>
      <c r="AR159" s="860"/>
      <c r="AS159" s="860"/>
      <c r="AT159" s="860"/>
      <c r="AU159" s="860"/>
      <c r="AV159" s="860"/>
      <c r="AW159" s="860"/>
      <c r="AX159" s="860"/>
      <c r="AY159" s="860"/>
      <c r="AZ159" s="860"/>
    </row>
    <row r="160" spans="1:52" ht="15" customHeight="1" x14ac:dyDescent="0.25">
      <c r="A160" s="860"/>
      <c r="B160" s="860"/>
      <c r="C160" s="860"/>
      <c r="D160" s="860"/>
      <c r="E160" s="860"/>
      <c r="F160" s="860"/>
      <c r="G160" s="860"/>
      <c r="H160" s="860"/>
      <c r="I160" s="860"/>
      <c r="J160" s="860"/>
      <c r="K160" s="860"/>
      <c r="L160" s="860"/>
      <c r="M160" s="860"/>
      <c r="N160" s="860"/>
      <c r="O160" s="860"/>
      <c r="P160" s="860"/>
      <c r="Q160" s="860"/>
      <c r="R160" s="860"/>
      <c r="S160" s="860"/>
      <c r="T160" s="860"/>
      <c r="U160" s="860"/>
      <c r="V160" s="860"/>
      <c r="W160" s="860"/>
      <c r="X160" s="860"/>
      <c r="Y160" s="860"/>
      <c r="Z160" s="860"/>
      <c r="AA160" s="860"/>
      <c r="AB160" s="860"/>
      <c r="AC160" s="860"/>
      <c r="AD160" s="860"/>
      <c r="AE160" s="860"/>
      <c r="AF160" s="860"/>
      <c r="AG160" s="860"/>
      <c r="AH160" s="860"/>
      <c r="AI160" s="860"/>
      <c r="AJ160" s="860"/>
      <c r="AK160" s="860"/>
      <c r="AL160" s="860"/>
      <c r="AM160" s="860"/>
      <c r="AN160" s="860"/>
      <c r="AO160" s="860"/>
      <c r="AP160" s="860"/>
      <c r="AQ160" s="860"/>
      <c r="AR160" s="860"/>
      <c r="AS160" s="860"/>
      <c r="AT160" s="860"/>
      <c r="AU160" s="860"/>
      <c r="AV160" s="860"/>
      <c r="AW160" s="860"/>
      <c r="AX160" s="860"/>
      <c r="AY160" s="860"/>
      <c r="AZ160" s="860"/>
    </row>
    <row r="161" spans="1:52" ht="15" customHeight="1" x14ac:dyDescent="0.25">
      <c r="A161" s="860"/>
      <c r="B161" s="860"/>
      <c r="C161" s="860"/>
      <c r="D161" s="860"/>
      <c r="E161" s="860"/>
      <c r="F161" s="860"/>
      <c r="G161" s="860"/>
      <c r="H161" s="860"/>
      <c r="I161" s="860"/>
      <c r="J161" s="860"/>
      <c r="K161" s="860"/>
      <c r="L161" s="860"/>
      <c r="M161" s="860"/>
      <c r="N161" s="860"/>
      <c r="O161" s="860"/>
      <c r="P161" s="860"/>
      <c r="Q161" s="860"/>
      <c r="R161" s="860"/>
      <c r="S161" s="860"/>
      <c r="T161" s="860"/>
      <c r="U161" s="860"/>
      <c r="V161" s="860"/>
      <c r="W161" s="860"/>
      <c r="X161" s="860"/>
      <c r="Y161" s="860"/>
      <c r="Z161" s="860"/>
      <c r="AA161" s="860"/>
      <c r="AB161" s="860"/>
      <c r="AC161" s="860"/>
      <c r="AD161" s="860"/>
      <c r="AE161" s="860"/>
      <c r="AF161" s="860"/>
      <c r="AG161" s="860"/>
      <c r="AH161" s="860"/>
      <c r="AI161" s="860"/>
      <c r="AJ161" s="860"/>
      <c r="AK161" s="860"/>
      <c r="AL161" s="860"/>
      <c r="AM161" s="860"/>
      <c r="AN161" s="860"/>
      <c r="AO161" s="860"/>
      <c r="AP161" s="860"/>
      <c r="AQ161" s="860"/>
      <c r="AR161" s="860"/>
      <c r="AS161" s="860"/>
      <c r="AT161" s="860"/>
      <c r="AU161" s="860"/>
      <c r="AV161" s="860"/>
      <c r="AW161" s="860"/>
      <c r="AX161" s="860"/>
      <c r="AY161" s="860"/>
      <c r="AZ161" s="860"/>
    </row>
    <row r="162" spans="1:52" ht="15" customHeight="1" x14ac:dyDescent="0.25">
      <c r="A162" s="860"/>
      <c r="B162" s="860"/>
      <c r="C162" s="860"/>
      <c r="D162" s="860"/>
      <c r="E162" s="860"/>
      <c r="F162" s="860"/>
      <c r="G162" s="860"/>
      <c r="H162" s="860"/>
      <c r="I162" s="860"/>
      <c r="J162" s="860"/>
      <c r="K162" s="860"/>
      <c r="L162" s="860"/>
      <c r="M162" s="860"/>
      <c r="N162" s="860"/>
      <c r="O162" s="860"/>
      <c r="P162" s="860"/>
      <c r="Q162" s="860"/>
      <c r="R162" s="860"/>
      <c r="S162" s="860"/>
      <c r="T162" s="860"/>
      <c r="U162" s="860"/>
      <c r="V162" s="860"/>
      <c r="W162" s="860"/>
      <c r="X162" s="860"/>
      <c r="Y162" s="860"/>
      <c r="Z162" s="860"/>
      <c r="AA162" s="860"/>
      <c r="AB162" s="860"/>
      <c r="AC162" s="860"/>
      <c r="AD162" s="860"/>
      <c r="AE162" s="860"/>
      <c r="AF162" s="860"/>
      <c r="AG162" s="860"/>
      <c r="AH162" s="860"/>
      <c r="AI162" s="860"/>
      <c r="AJ162" s="860"/>
      <c r="AK162" s="860"/>
      <c r="AL162" s="860"/>
      <c r="AM162" s="860"/>
      <c r="AN162" s="860"/>
      <c r="AO162" s="860"/>
      <c r="AP162" s="860"/>
      <c r="AQ162" s="860"/>
      <c r="AR162" s="860"/>
      <c r="AS162" s="860"/>
      <c r="AT162" s="860"/>
      <c r="AU162" s="860"/>
      <c r="AV162" s="860"/>
      <c r="AW162" s="860"/>
      <c r="AX162" s="860"/>
      <c r="AY162" s="860"/>
      <c r="AZ162" s="860"/>
    </row>
    <row r="163" spans="1:52" ht="15" customHeight="1" x14ac:dyDescent="0.25">
      <c r="A163" s="860"/>
      <c r="B163" s="860"/>
      <c r="C163" s="860"/>
      <c r="D163" s="860"/>
      <c r="E163" s="860"/>
      <c r="F163" s="860"/>
      <c r="G163" s="860"/>
      <c r="H163" s="860"/>
      <c r="I163" s="860"/>
      <c r="J163" s="860"/>
      <c r="K163" s="860"/>
      <c r="L163" s="860"/>
      <c r="M163" s="860"/>
      <c r="N163" s="860"/>
      <c r="O163" s="860"/>
      <c r="P163" s="860"/>
      <c r="Q163" s="860"/>
      <c r="R163" s="860"/>
      <c r="S163" s="860"/>
      <c r="T163" s="860"/>
      <c r="U163" s="860"/>
      <c r="V163" s="860"/>
      <c r="W163" s="860"/>
      <c r="X163" s="860"/>
      <c r="Y163" s="860"/>
      <c r="Z163" s="860"/>
      <c r="AA163" s="860"/>
      <c r="AB163" s="860"/>
      <c r="AC163" s="860"/>
      <c r="AD163" s="860"/>
      <c r="AE163" s="860"/>
      <c r="AF163" s="860"/>
      <c r="AG163" s="860"/>
      <c r="AH163" s="860"/>
      <c r="AI163" s="860"/>
      <c r="AJ163" s="860"/>
      <c r="AK163" s="860"/>
      <c r="AL163" s="860"/>
      <c r="AM163" s="860"/>
      <c r="AN163" s="860"/>
      <c r="AO163" s="860"/>
      <c r="AP163" s="860"/>
      <c r="AQ163" s="860"/>
      <c r="AR163" s="860"/>
      <c r="AS163" s="860"/>
      <c r="AT163" s="860"/>
      <c r="AU163" s="860"/>
      <c r="AV163" s="860"/>
      <c r="AW163" s="860"/>
      <c r="AX163" s="860"/>
      <c r="AY163" s="860"/>
      <c r="AZ163" s="860"/>
    </row>
    <row r="164" spans="1:52" ht="15" customHeight="1" x14ac:dyDescent="0.25">
      <c r="A164" s="860"/>
      <c r="B164" s="860"/>
      <c r="C164" s="860"/>
      <c r="D164" s="860"/>
      <c r="E164" s="860"/>
      <c r="F164" s="860"/>
      <c r="G164" s="860"/>
      <c r="H164" s="860"/>
      <c r="I164" s="860"/>
      <c r="J164" s="860"/>
      <c r="K164" s="860"/>
      <c r="L164" s="860"/>
      <c r="M164" s="860"/>
      <c r="N164" s="860"/>
      <c r="O164" s="860"/>
      <c r="P164" s="860"/>
      <c r="Q164" s="860"/>
      <c r="R164" s="860"/>
      <c r="S164" s="860"/>
      <c r="T164" s="860"/>
      <c r="U164" s="860"/>
      <c r="V164" s="860"/>
      <c r="W164" s="860"/>
      <c r="X164" s="860"/>
      <c r="Y164" s="860"/>
      <c r="Z164" s="860"/>
      <c r="AA164" s="860"/>
      <c r="AB164" s="860"/>
      <c r="AC164" s="860"/>
      <c r="AD164" s="860"/>
      <c r="AE164" s="860"/>
      <c r="AF164" s="860"/>
      <c r="AG164" s="860"/>
      <c r="AH164" s="860"/>
      <c r="AI164" s="860"/>
      <c r="AJ164" s="860"/>
      <c r="AK164" s="860"/>
      <c r="AL164" s="860"/>
      <c r="AM164" s="860"/>
      <c r="AN164" s="860"/>
      <c r="AO164" s="860"/>
      <c r="AP164" s="860"/>
      <c r="AQ164" s="860"/>
      <c r="AR164" s="860"/>
      <c r="AS164" s="860"/>
      <c r="AT164" s="860"/>
      <c r="AU164" s="860"/>
      <c r="AV164" s="860"/>
      <c r="AW164" s="860"/>
      <c r="AX164" s="860"/>
      <c r="AY164" s="860"/>
      <c r="AZ164" s="860"/>
    </row>
    <row r="165" spans="1:52" ht="15" customHeight="1" x14ac:dyDescent="0.25">
      <c r="A165" s="860"/>
      <c r="B165" s="860"/>
      <c r="C165" s="860"/>
      <c r="D165" s="860"/>
      <c r="E165" s="860"/>
      <c r="F165" s="860"/>
      <c r="G165" s="860"/>
      <c r="H165" s="860"/>
      <c r="I165" s="860"/>
      <c r="J165" s="860"/>
      <c r="K165" s="860"/>
      <c r="L165" s="860"/>
      <c r="M165" s="860"/>
      <c r="N165" s="860"/>
      <c r="O165" s="860"/>
      <c r="P165" s="860"/>
      <c r="Q165" s="860"/>
      <c r="R165" s="860"/>
      <c r="S165" s="860"/>
      <c r="T165" s="860"/>
      <c r="U165" s="860"/>
      <c r="V165" s="860"/>
      <c r="W165" s="860"/>
      <c r="X165" s="860"/>
      <c r="Y165" s="860"/>
      <c r="Z165" s="860"/>
      <c r="AA165" s="860"/>
      <c r="AB165" s="860"/>
      <c r="AC165" s="860"/>
      <c r="AD165" s="860"/>
      <c r="AE165" s="860"/>
      <c r="AF165" s="860"/>
      <c r="AG165" s="860"/>
      <c r="AH165" s="860"/>
      <c r="AI165" s="860"/>
      <c r="AJ165" s="860"/>
      <c r="AK165" s="860"/>
      <c r="AL165" s="860"/>
      <c r="AM165" s="860"/>
      <c r="AN165" s="860"/>
      <c r="AO165" s="860"/>
      <c r="AP165" s="860"/>
      <c r="AQ165" s="860"/>
      <c r="AR165" s="860"/>
      <c r="AS165" s="860"/>
      <c r="AT165" s="860"/>
      <c r="AU165" s="860"/>
      <c r="AV165" s="860"/>
      <c r="AW165" s="860"/>
      <c r="AX165" s="860"/>
      <c r="AY165" s="860"/>
      <c r="AZ165" s="860"/>
    </row>
    <row r="166" spans="1:52" ht="15" customHeight="1" x14ac:dyDescent="0.25">
      <c r="A166" s="860"/>
      <c r="B166" s="860"/>
      <c r="C166" s="860"/>
      <c r="D166" s="860"/>
      <c r="E166" s="860"/>
      <c r="F166" s="860"/>
      <c r="G166" s="860"/>
      <c r="H166" s="860"/>
      <c r="I166" s="860"/>
      <c r="J166" s="860"/>
      <c r="K166" s="860"/>
      <c r="L166" s="860"/>
      <c r="M166" s="860"/>
      <c r="N166" s="860"/>
      <c r="O166" s="860"/>
      <c r="P166" s="860"/>
      <c r="Q166" s="860"/>
      <c r="R166" s="860"/>
      <c r="S166" s="860"/>
      <c r="T166" s="860"/>
      <c r="U166" s="860"/>
      <c r="V166" s="860"/>
      <c r="W166" s="860"/>
      <c r="X166" s="860"/>
      <c r="Y166" s="860"/>
      <c r="Z166" s="860"/>
      <c r="AA166" s="860"/>
      <c r="AB166" s="860"/>
      <c r="AC166" s="860"/>
      <c r="AD166" s="860"/>
      <c r="AE166" s="860"/>
      <c r="AF166" s="860"/>
      <c r="AG166" s="860"/>
      <c r="AH166" s="860"/>
      <c r="AI166" s="860"/>
      <c r="AJ166" s="860"/>
      <c r="AK166" s="860"/>
      <c r="AL166" s="860"/>
      <c r="AM166" s="860"/>
      <c r="AN166" s="860"/>
      <c r="AO166" s="860"/>
      <c r="AP166" s="860"/>
      <c r="AQ166" s="860"/>
      <c r="AR166" s="860"/>
      <c r="AS166" s="860"/>
      <c r="AT166" s="860"/>
      <c r="AU166" s="860"/>
      <c r="AV166" s="860"/>
      <c r="AW166" s="860"/>
      <c r="AX166" s="860"/>
      <c r="AY166" s="860"/>
      <c r="AZ166" s="860"/>
    </row>
    <row r="167" spans="1:52" ht="15" customHeight="1" x14ac:dyDescent="0.25">
      <c r="A167" s="860"/>
      <c r="B167" s="860"/>
      <c r="C167" s="860"/>
      <c r="D167" s="860"/>
      <c r="E167" s="860"/>
      <c r="F167" s="860"/>
      <c r="G167" s="860"/>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860"/>
      <c r="AL167" s="860"/>
      <c r="AM167" s="860"/>
      <c r="AN167" s="860"/>
      <c r="AO167" s="860"/>
      <c r="AP167" s="860"/>
      <c r="AQ167" s="860"/>
      <c r="AR167" s="860"/>
      <c r="AS167" s="860"/>
      <c r="AT167" s="860"/>
      <c r="AU167" s="860"/>
      <c r="AV167" s="860"/>
      <c r="AW167" s="860"/>
      <c r="AX167" s="860"/>
      <c r="AY167" s="860"/>
      <c r="AZ167" s="860"/>
    </row>
    <row r="168" spans="1:52" ht="15" customHeight="1" x14ac:dyDescent="0.25">
      <c r="A168" s="860"/>
      <c r="B168" s="860"/>
      <c r="C168" s="860"/>
      <c r="D168" s="860"/>
      <c r="E168" s="860"/>
      <c r="F168" s="860"/>
      <c r="G168" s="860"/>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860"/>
      <c r="AL168" s="860"/>
      <c r="AM168" s="860"/>
      <c r="AN168" s="860"/>
      <c r="AO168" s="860"/>
      <c r="AP168" s="860"/>
      <c r="AQ168" s="860"/>
      <c r="AR168" s="860"/>
      <c r="AS168" s="860"/>
      <c r="AT168" s="860"/>
      <c r="AU168" s="860"/>
      <c r="AV168" s="860"/>
      <c r="AW168" s="860"/>
      <c r="AX168" s="860"/>
      <c r="AY168" s="860"/>
      <c r="AZ168" s="860"/>
    </row>
    <row r="169" spans="1:52" ht="15" customHeight="1" x14ac:dyDescent="0.25">
      <c r="A169" s="860"/>
      <c r="B169" s="860"/>
      <c r="C169" s="860"/>
      <c r="D169" s="860"/>
      <c r="E169" s="860"/>
      <c r="F169" s="860"/>
      <c r="G169" s="860"/>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860"/>
      <c r="AH169" s="860"/>
      <c r="AI169" s="860"/>
      <c r="AJ169" s="860"/>
      <c r="AK169" s="860"/>
      <c r="AL169" s="860"/>
      <c r="AM169" s="860"/>
      <c r="AN169" s="860"/>
      <c r="AO169" s="860"/>
      <c r="AP169" s="860"/>
      <c r="AQ169" s="860"/>
      <c r="AR169" s="860"/>
      <c r="AS169" s="860"/>
      <c r="AT169" s="860"/>
      <c r="AU169" s="860"/>
      <c r="AV169" s="860"/>
      <c r="AW169" s="860"/>
      <c r="AX169" s="860"/>
      <c r="AY169" s="860"/>
      <c r="AZ169" s="860"/>
    </row>
    <row r="170" spans="1:52" ht="15" customHeight="1" x14ac:dyDescent="0.25">
      <c r="A170" s="860"/>
      <c r="B170" s="860"/>
      <c r="C170" s="860"/>
      <c r="D170" s="860"/>
      <c r="E170" s="860"/>
      <c r="F170" s="860"/>
      <c r="G170" s="860"/>
      <c r="H170" s="860"/>
      <c r="I170" s="860"/>
      <c r="J170" s="860"/>
      <c r="K170" s="860"/>
      <c r="L170" s="860"/>
      <c r="M170" s="860"/>
      <c r="N170" s="860"/>
      <c r="O170" s="860"/>
      <c r="P170" s="860"/>
      <c r="Q170" s="860"/>
      <c r="R170" s="860"/>
      <c r="S170" s="860"/>
      <c r="T170" s="860"/>
      <c r="U170" s="860"/>
      <c r="V170" s="860"/>
      <c r="W170" s="860"/>
      <c r="X170" s="860"/>
      <c r="Y170" s="860"/>
      <c r="Z170" s="860"/>
      <c r="AA170" s="860"/>
      <c r="AB170" s="860"/>
      <c r="AC170" s="860"/>
      <c r="AD170" s="860"/>
      <c r="AE170" s="860"/>
      <c r="AF170" s="860"/>
      <c r="AG170" s="860"/>
      <c r="AH170" s="860"/>
      <c r="AI170" s="860"/>
      <c r="AJ170" s="860"/>
      <c r="AK170" s="860"/>
      <c r="AL170" s="860"/>
      <c r="AM170" s="860"/>
      <c r="AN170" s="860"/>
      <c r="AO170" s="860"/>
      <c r="AP170" s="860"/>
      <c r="AQ170" s="860"/>
      <c r="AR170" s="860"/>
      <c r="AS170" s="860"/>
      <c r="AT170" s="860"/>
      <c r="AU170" s="860"/>
      <c r="AV170" s="860"/>
      <c r="AW170" s="860"/>
      <c r="AX170" s="860"/>
      <c r="AY170" s="860"/>
      <c r="AZ170" s="860"/>
    </row>
    <row r="171" spans="1:52" ht="15" customHeight="1" x14ac:dyDescent="0.25">
      <c r="A171" s="860"/>
      <c r="B171" s="860"/>
      <c r="C171" s="860"/>
      <c r="D171" s="860"/>
      <c r="E171" s="860"/>
      <c r="F171" s="860"/>
      <c r="G171" s="860"/>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860"/>
      <c r="AL171" s="860"/>
      <c r="AM171" s="860"/>
      <c r="AN171" s="860"/>
      <c r="AO171" s="860"/>
      <c r="AP171" s="860"/>
      <c r="AQ171" s="860"/>
      <c r="AR171" s="860"/>
      <c r="AS171" s="860"/>
      <c r="AT171" s="860"/>
      <c r="AU171" s="860"/>
      <c r="AV171" s="860"/>
      <c r="AW171" s="860"/>
      <c r="AX171" s="860"/>
      <c r="AY171" s="860"/>
      <c r="AZ171" s="860"/>
    </row>
    <row r="172" spans="1:52" ht="15" customHeight="1" x14ac:dyDescent="0.25">
      <c r="A172" s="860"/>
      <c r="B172" s="860"/>
      <c r="C172" s="860"/>
      <c r="D172" s="860"/>
      <c r="E172" s="860"/>
      <c r="F172" s="860"/>
      <c r="G172" s="860"/>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860"/>
      <c r="AL172" s="860"/>
      <c r="AM172" s="860"/>
      <c r="AN172" s="860"/>
      <c r="AO172" s="860"/>
      <c r="AP172" s="860"/>
      <c r="AQ172" s="860"/>
      <c r="AR172" s="860"/>
      <c r="AS172" s="860"/>
      <c r="AT172" s="860"/>
      <c r="AU172" s="860"/>
      <c r="AV172" s="860"/>
      <c r="AW172" s="860"/>
      <c r="AX172" s="860"/>
      <c r="AY172" s="860"/>
      <c r="AZ172" s="860"/>
    </row>
    <row r="173" spans="1:52" ht="15" customHeight="1" x14ac:dyDescent="0.25">
      <c r="A173" s="860"/>
      <c r="B173" s="860"/>
      <c r="C173" s="860"/>
      <c r="D173" s="860"/>
      <c r="E173" s="860"/>
      <c r="F173" s="860"/>
      <c r="G173" s="860"/>
      <c r="H173" s="860"/>
      <c r="I173" s="860"/>
      <c r="J173" s="860"/>
      <c r="K173" s="860"/>
      <c r="L173" s="860"/>
      <c r="M173" s="860"/>
      <c r="N173" s="860"/>
      <c r="O173" s="860"/>
      <c r="P173" s="860"/>
      <c r="Q173" s="860"/>
      <c r="R173" s="860"/>
      <c r="S173" s="860"/>
      <c r="T173" s="860"/>
      <c r="U173" s="860"/>
      <c r="V173" s="860"/>
      <c r="W173" s="860"/>
      <c r="X173" s="860"/>
      <c r="Y173" s="860"/>
      <c r="Z173" s="860"/>
      <c r="AA173" s="860"/>
      <c r="AB173" s="860"/>
      <c r="AC173" s="860"/>
      <c r="AD173" s="860"/>
      <c r="AE173" s="860"/>
      <c r="AF173" s="860"/>
      <c r="AG173" s="860"/>
      <c r="AH173" s="860"/>
      <c r="AI173" s="860"/>
      <c r="AJ173" s="860"/>
      <c r="AK173" s="860"/>
      <c r="AL173" s="860"/>
      <c r="AM173" s="860"/>
      <c r="AN173" s="860"/>
      <c r="AO173" s="860"/>
      <c r="AP173" s="860"/>
      <c r="AQ173" s="860"/>
      <c r="AR173" s="860"/>
      <c r="AS173" s="860"/>
      <c r="AT173" s="860"/>
      <c r="AU173" s="860"/>
      <c r="AV173" s="860"/>
      <c r="AW173" s="860"/>
      <c r="AX173" s="860"/>
      <c r="AY173" s="860"/>
      <c r="AZ173" s="860"/>
    </row>
    <row r="174" spans="1:52" ht="15" customHeight="1" x14ac:dyDescent="0.25">
      <c r="A174" s="860"/>
      <c r="B174" s="860"/>
      <c r="C174" s="860"/>
      <c r="D174" s="860"/>
      <c r="E174" s="860"/>
      <c r="F174" s="860"/>
      <c r="G174" s="860"/>
      <c r="H174" s="860"/>
      <c r="I174" s="860"/>
      <c r="J174" s="860"/>
      <c r="K174" s="860"/>
      <c r="L174" s="860"/>
      <c r="M174" s="860"/>
      <c r="N174" s="860"/>
      <c r="O174" s="860"/>
      <c r="P174" s="860"/>
      <c r="Q174" s="860"/>
      <c r="R174" s="860"/>
      <c r="S174" s="860"/>
      <c r="T174" s="860"/>
      <c r="U174" s="860"/>
      <c r="V174" s="860"/>
      <c r="W174" s="860"/>
      <c r="X174" s="860"/>
      <c r="Y174" s="860"/>
      <c r="Z174" s="860"/>
      <c r="AA174" s="860"/>
      <c r="AB174" s="860"/>
      <c r="AC174" s="860"/>
      <c r="AD174" s="860"/>
      <c r="AE174" s="860"/>
      <c r="AF174" s="860"/>
      <c r="AG174" s="860"/>
      <c r="AH174" s="860"/>
      <c r="AI174" s="860"/>
      <c r="AJ174" s="860"/>
      <c r="AK174" s="860"/>
      <c r="AL174" s="860"/>
      <c r="AM174" s="860"/>
      <c r="AN174" s="860"/>
      <c r="AO174" s="860"/>
      <c r="AP174" s="860"/>
      <c r="AQ174" s="860"/>
      <c r="AR174" s="860"/>
      <c r="AS174" s="860"/>
      <c r="AT174" s="860"/>
      <c r="AU174" s="860"/>
      <c r="AV174" s="860"/>
      <c r="AW174" s="860"/>
      <c r="AX174" s="860"/>
      <c r="AY174" s="860"/>
      <c r="AZ174" s="860"/>
    </row>
    <row r="175" spans="1:52" ht="15" customHeight="1" x14ac:dyDescent="0.25">
      <c r="A175" s="860"/>
      <c r="B175" s="860"/>
      <c r="C175" s="860"/>
      <c r="D175" s="860"/>
      <c r="E175" s="860"/>
      <c r="F175" s="860"/>
      <c r="G175" s="860"/>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860"/>
      <c r="AL175" s="860"/>
      <c r="AM175" s="860"/>
      <c r="AN175" s="860"/>
      <c r="AO175" s="860"/>
      <c r="AP175" s="860"/>
      <c r="AQ175" s="860"/>
      <c r="AR175" s="860"/>
      <c r="AS175" s="860"/>
      <c r="AT175" s="860"/>
      <c r="AU175" s="860"/>
      <c r="AV175" s="860"/>
      <c r="AW175" s="860"/>
      <c r="AX175" s="860"/>
      <c r="AY175" s="860"/>
      <c r="AZ175" s="860"/>
    </row>
    <row r="176" spans="1:52" ht="15" customHeight="1" x14ac:dyDescent="0.25">
      <c r="A176" s="860"/>
      <c r="B176" s="860"/>
      <c r="C176" s="860"/>
      <c r="D176" s="860"/>
      <c r="E176" s="860"/>
      <c r="F176" s="860"/>
      <c r="G176" s="860"/>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860"/>
      <c r="AL176" s="860"/>
      <c r="AM176" s="860"/>
      <c r="AN176" s="860"/>
      <c r="AO176" s="860"/>
      <c r="AP176" s="860"/>
      <c r="AQ176" s="860"/>
      <c r="AR176" s="860"/>
      <c r="AS176" s="860"/>
      <c r="AT176" s="860"/>
      <c r="AU176" s="860"/>
      <c r="AV176" s="860"/>
      <c r="AW176" s="860"/>
      <c r="AX176" s="860"/>
      <c r="AY176" s="860"/>
      <c r="AZ176" s="860"/>
    </row>
    <row r="177" spans="1:52" ht="15" customHeight="1" x14ac:dyDescent="0.25">
      <c r="A177" s="860"/>
      <c r="B177" s="860"/>
      <c r="C177" s="860"/>
      <c r="D177" s="860"/>
      <c r="E177" s="860"/>
      <c r="F177" s="860"/>
      <c r="G177" s="860"/>
      <c r="H177" s="860"/>
      <c r="I177" s="860"/>
      <c r="J177" s="860"/>
      <c r="K177" s="860"/>
      <c r="L177" s="860"/>
      <c r="M177" s="860"/>
      <c r="N177" s="860"/>
      <c r="O177" s="860"/>
      <c r="P177" s="860"/>
      <c r="Q177" s="860"/>
      <c r="R177" s="860"/>
      <c r="S177" s="860"/>
      <c r="T177" s="860"/>
      <c r="U177" s="860"/>
      <c r="V177" s="860"/>
      <c r="W177" s="860"/>
      <c r="X177" s="860"/>
      <c r="Y177" s="860"/>
      <c r="Z177" s="860"/>
      <c r="AA177" s="860"/>
      <c r="AB177" s="860"/>
      <c r="AC177" s="860"/>
      <c r="AD177" s="860"/>
      <c r="AE177" s="860"/>
      <c r="AF177" s="860"/>
      <c r="AG177" s="860"/>
      <c r="AH177" s="860"/>
      <c r="AI177" s="860"/>
      <c r="AJ177" s="860"/>
      <c r="AK177" s="860"/>
      <c r="AL177" s="860"/>
      <c r="AM177" s="860"/>
      <c r="AN177" s="860"/>
      <c r="AO177" s="860"/>
      <c r="AP177" s="860"/>
      <c r="AQ177" s="860"/>
      <c r="AR177" s="860"/>
      <c r="AS177" s="860"/>
      <c r="AT177" s="860"/>
      <c r="AU177" s="860"/>
      <c r="AV177" s="860"/>
      <c r="AW177" s="860"/>
      <c r="AX177" s="860"/>
      <c r="AY177" s="860"/>
      <c r="AZ177" s="860"/>
    </row>
    <row r="178" spans="1:52" ht="15" customHeight="1" x14ac:dyDescent="0.25">
      <c r="A178" s="860"/>
      <c r="B178" s="860"/>
      <c r="C178" s="860"/>
      <c r="D178" s="860"/>
      <c r="E178" s="860"/>
      <c r="F178" s="860"/>
      <c r="G178" s="860"/>
      <c r="H178" s="860"/>
      <c r="I178" s="860"/>
      <c r="J178" s="860"/>
      <c r="K178" s="860"/>
      <c r="L178" s="860"/>
      <c r="M178" s="860"/>
      <c r="N178" s="860"/>
      <c r="O178" s="860"/>
      <c r="P178" s="860"/>
      <c r="Q178" s="860"/>
      <c r="R178" s="860"/>
      <c r="S178" s="860"/>
      <c r="T178" s="860"/>
      <c r="U178" s="860"/>
      <c r="V178" s="860"/>
      <c r="W178" s="860"/>
      <c r="X178" s="860"/>
      <c r="Y178" s="860"/>
      <c r="Z178" s="860"/>
      <c r="AA178" s="860"/>
      <c r="AB178" s="860"/>
      <c r="AC178" s="860"/>
      <c r="AD178" s="860"/>
      <c r="AE178" s="860"/>
      <c r="AF178" s="860"/>
      <c r="AG178" s="860"/>
      <c r="AH178" s="860"/>
      <c r="AI178" s="860"/>
      <c r="AJ178" s="860"/>
      <c r="AK178" s="860"/>
      <c r="AL178" s="860"/>
      <c r="AM178" s="860"/>
      <c r="AN178" s="860"/>
      <c r="AO178" s="860"/>
      <c r="AP178" s="860"/>
      <c r="AQ178" s="860"/>
      <c r="AR178" s="860"/>
      <c r="AS178" s="860"/>
      <c r="AT178" s="860"/>
      <c r="AU178" s="860"/>
      <c r="AV178" s="860"/>
      <c r="AW178" s="860"/>
      <c r="AX178" s="860"/>
      <c r="AY178" s="860"/>
      <c r="AZ178" s="860"/>
    </row>
    <row r="179" spans="1:52" ht="15" customHeight="1" x14ac:dyDescent="0.25">
      <c r="A179" s="860"/>
      <c r="B179" s="860"/>
      <c r="C179" s="860"/>
      <c r="D179" s="860"/>
      <c r="E179" s="860"/>
      <c r="F179" s="860"/>
      <c r="G179" s="860"/>
      <c r="H179" s="860"/>
      <c r="I179" s="860"/>
      <c r="J179" s="860"/>
      <c r="K179" s="860"/>
      <c r="L179" s="860"/>
      <c r="M179" s="860"/>
      <c r="N179" s="860"/>
      <c r="O179" s="860"/>
      <c r="P179" s="860"/>
      <c r="Q179" s="860"/>
      <c r="R179" s="860"/>
      <c r="S179" s="860"/>
      <c r="T179" s="860"/>
      <c r="U179" s="860"/>
      <c r="V179" s="860"/>
      <c r="W179" s="860"/>
      <c r="X179" s="860"/>
      <c r="Y179" s="860"/>
      <c r="Z179" s="860"/>
      <c r="AA179" s="860"/>
      <c r="AB179" s="860"/>
      <c r="AC179" s="860"/>
      <c r="AD179" s="860"/>
      <c r="AE179" s="860"/>
      <c r="AF179" s="860"/>
      <c r="AG179" s="860"/>
      <c r="AH179" s="860"/>
      <c r="AI179" s="860"/>
      <c r="AJ179" s="860"/>
      <c r="AK179" s="860"/>
      <c r="AL179" s="860"/>
      <c r="AM179" s="860"/>
      <c r="AN179" s="860"/>
      <c r="AO179" s="860"/>
      <c r="AP179" s="860"/>
      <c r="AQ179" s="860"/>
      <c r="AR179" s="860"/>
      <c r="AS179" s="860"/>
      <c r="AT179" s="860"/>
      <c r="AU179" s="860"/>
      <c r="AV179" s="860"/>
      <c r="AW179" s="860"/>
      <c r="AX179" s="860"/>
      <c r="AY179" s="860"/>
      <c r="AZ179" s="860"/>
    </row>
    <row r="180" spans="1:52" ht="15" customHeight="1" x14ac:dyDescent="0.25">
      <c r="A180" s="860"/>
      <c r="B180" s="860"/>
      <c r="C180" s="860"/>
      <c r="D180" s="860"/>
      <c r="E180" s="860"/>
      <c r="F180" s="860"/>
      <c r="G180" s="860"/>
      <c r="H180" s="860"/>
      <c r="I180" s="860"/>
      <c r="J180" s="860"/>
      <c r="K180" s="860"/>
      <c r="L180" s="860"/>
      <c r="M180" s="860"/>
      <c r="N180" s="860"/>
      <c r="O180" s="860"/>
      <c r="P180" s="860"/>
      <c r="Q180" s="860"/>
      <c r="R180" s="860"/>
      <c r="S180" s="860"/>
      <c r="T180" s="860"/>
      <c r="U180" s="860"/>
      <c r="V180" s="860"/>
      <c r="W180" s="860"/>
      <c r="X180" s="860"/>
      <c r="Y180" s="860"/>
      <c r="Z180" s="860"/>
      <c r="AA180" s="860"/>
      <c r="AB180" s="860"/>
      <c r="AC180" s="860"/>
      <c r="AD180" s="860"/>
      <c r="AE180" s="860"/>
      <c r="AF180" s="860"/>
      <c r="AG180" s="860"/>
      <c r="AH180" s="860"/>
      <c r="AI180" s="860"/>
      <c r="AJ180" s="860"/>
      <c r="AK180" s="860"/>
      <c r="AL180" s="860"/>
      <c r="AM180" s="860"/>
      <c r="AN180" s="860"/>
      <c r="AO180" s="860"/>
      <c r="AP180" s="860"/>
      <c r="AQ180" s="860"/>
      <c r="AR180" s="860"/>
      <c r="AS180" s="860"/>
      <c r="AT180" s="860"/>
      <c r="AU180" s="860"/>
      <c r="AV180" s="860"/>
      <c r="AW180" s="860"/>
      <c r="AX180" s="860"/>
      <c r="AY180" s="860"/>
      <c r="AZ180" s="860"/>
    </row>
    <row r="181" spans="1:52" ht="15" customHeight="1" x14ac:dyDescent="0.25">
      <c r="A181" s="860"/>
      <c r="B181" s="860"/>
      <c r="C181" s="860"/>
      <c r="D181" s="860"/>
      <c r="E181" s="860"/>
      <c r="F181" s="860"/>
      <c r="G181" s="860"/>
      <c r="H181" s="860"/>
      <c r="I181" s="860"/>
      <c r="J181" s="860"/>
      <c r="K181" s="860"/>
      <c r="L181" s="860"/>
      <c r="M181" s="860"/>
      <c r="N181" s="860"/>
      <c r="O181" s="860"/>
      <c r="P181" s="860"/>
      <c r="Q181" s="860"/>
      <c r="R181" s="860"/>
      <c r="S181" s="860"/>
      <c r="T181" s="860"/>
      <c r="U181" s="860"/>
      <c r="V181" s="860"/>
      <c r="W181" s="860"/>
      <c r="X181" s="860"/>
      <c r="Y181" s="860"/>
      <c r="Z181" s="860"/>
      <c r="AA181" s="860"/>
      <c r="AB181" s="860"/>
      <c r="AC181" s="860"/>
      <c r="AD181" s="860"/>
      <c r="AE181" s="860"/>
      <c r="AF181" s="860"/>
      <c r="AG181" s="860"/>
      <c r="AH181" s="860"/>
      <c r="AI181" s="860"/>
      <c r="AJ181" s="860"/>
      <c r="AK181" s="860"/>
      <c r="AL181" s="860"/>
      <c r="AM181" s="860"/>
      <c r="AN181" s="860"/>
      <c r="AO181" s="860"/>
      <c r="AP181" s="860"/>
      <c r="AQ181" s="860"/>
      <c r="AR181" s="860"/>
      <c r="AS181" s="860"/>
      <c r="AT181" s="860"/>
      <c r="AU181" s="860"/>
      <c r="AV181" s="860"/>
      <c r="AW181" s="860"/>
      <c r="AX181" s="860"/>
      <c r="AY181" s="860"/>
      <c r="AZ181" s="860"/>
    </row>
    <row r="182" spans="1:52" ht="15" customHeight="1" x14ac:dyDescent="0.25">
      <c r="A182" s="860"/>
      <c r="B182" s="860"/>
      <c r="C182" s="860"/>
      <c r="D182" s="860"/>
      <c r="E182" s="860"/>
      <c r="F182" s="860"/>
      <c r="G182" s="860"/>
      <c r="H182" s="860"/>
      <c r="I182" s="860"/>
      <c r="J182" s="860"/>
      <c r="K182" s="860"/>
      <c r="L182" s="860"/>
      <c r="M182" s="860"/>
      <c r="N182" s="860"/>
      <c r="O182" s="860"/>
      <c r="P182" s="860"/>
      <c r="Q182" s="860"/>
      <c r="R182" s="860"/>
      <c r="S182" s="860"/>
      <c r="T182" s="860"/>
      <c r="U182" s="860"/>
      <c r="V182" s="860"/>
      <c r="W182" s="860"/>
      <c r="X182" s="860"/>
      <c r="Y182" s="860"/>
      <c r="Z182" s="860"/>
      <c r="AA182" s="860"/>
      <c r="AB182" s="860"/>
      <c r="AC182" s="860"/>
      <c r="AD182" s="860"/>
      <c r="AE182" s="860"/>
      <c r="AF182" s="860"/>
      <c r="AG182" s="860"/>
      <c r="AH182" s="860"/>
      <c r="AI182" s="860"/>
      <c r="AJ182" s="860"/>
      <c r="AK182" s="860"/>
      <c r="AL182" s="860"/>
      <c r="AM182" s="860"/>
      <c r="AN182" s="860"/>
      <c r="AO182" s="860"/>
      <c r="AP182" s="860"/>
      <c r="AQ182" s="860"/>
      <c r="AR182" s="860"/>
      <c r="AS182" s="860"/>
      <c r="AT182" s="860"/>
      <c r="AU182" s="860"/>
      <c r="AV182" s="860"/>
      <c r="AW182" s="860"/>
      <c r="AX182" s="860"/>
      <c r="AY182" s="860"/>
      <c r="AZ182" s="860"/>
    </row>
    <row r="183" spans="1:52" ht="15" customHeight="1" x14ac:dyDescent="0.25">
      <c r="A183" s="860"/>
      <c r="B183" s="860"/>
      <c r="C183" s="860"/>
      <c r="D183" s="860"/>
      <c r="E183" s="860"/>
      <c r="F183" s="860"/>
      <c r="G183" s="860"/>
      <c r="H183" s="860"/>
      <c r="I183" s="860"/>
      <c r="J183" s="860"/>
      <c r="K183" s="860"/>
      <c r="L183" s="860"/>
      <c r="M183" s="860"/>
      <c r="N183" s="860"/>
      <c r="O183" s="860"/>
      <c r="P183" s="860"/>
      <c r="Q183" s="860"/>
      <c r="R183" s="860"/>
      <c r="S183" s="860"/>
      <c r="T183" s="860"/>
      <c r="U183" s="860"/>
      <c r="V183" s="860"/>
      <c r="W183" s="860"/>
      <c r="X183" s="860"/>
      <c r="Y183" s="860"/>
      <c r="Z183" s="860"/>
      <c r="AA183" s="860"/>
      <c r="AB183" s="860"/>
      <c r="AC183" s="860"/>
      <c r="AD183" s="860"/>
      <c r="AE183" s="860"/>
      <c r="AF183" s="860"/>
      <c r="AG183" s="860"/>
      <c r="AH183" s="860"/>
      <c r="AI183" s="860"/>
      <c r="AJ183" s="860"/>
      <c r="AK183" s="860"/>
      <c r="AL183" s="860"/>
      <c r="AM183" s="860"/>
      <c r="AN183" s="860"/>
      <c r="AO183" s="860"/>
      <c r="AP183" s="860"/>
      <c r="AQ183" s="860"/>
      <c r="AR183" s="860"/>
      <c r="AS183" s="860"/>
      <c r="AT183" s="860"/>
      <c r="AU183" s="860"/>
      <c r="AV183" s="860"/>
      <c r="AW183" s="860"/>
      <c r="AX183" s="860"/>
      <c r="AY183" s="860"/>
      <c r="AZ183" s="860"/>
    </row>
    <row r="184" spans="1:52" ht="15" customHeight="1" x14ac:dyDescent="0.25">
      <c r="A184" s="860"/>
      <c r="B184" s="860"/>
      <c r="C184" s="860"/>
      <c r="D184" s="860"/>
      <c r="E184" s="860"/>
      <c r="F184" s="860"/>
      <c r="G184" s="860"/>
      <c r="H184" s="860"/>
      <c r="I184" s="860"/>
      <c r="J184" s="860"/>
      <c r="K184" s="860"/>
      <c r="L184" s="860"/>
      <c r="M184" s="860"/>
      <c r="N184" s="860"/>
      <c r="O184" s="860"/>
      <c r="P184" s="860"/>
      <c r="Q184" s="860"/>
      <c r="R184" s="860"/>
      <c r="S184" s="860"/>
      <c r="T184" s="860"/>
      <c r="U184" s="860"/>
      <c r="V184" s="860"/>
      <c r="W184" s="860"/>
      <c r="X184" s="860"/>
      <c r="Y184" s="860"/>
      <c r="Z184" s="860"/>
      <c r="AA184" s="860"/>
      <c r="AB184" s="860"/>
      <c r="AC184" s="860"/>
      <c r="AD184" s="860"/>
      <c r="AE184" s="860"/>
      <c r="AF184" s="860"/>
      <c r="AG184" s="860"/>
      <c r="AH184" s="860"/>
      <c r="AI184" s="860"/>
      <c r="AJ184" s="860"/>
      <c r="AK184" s="860"/>
      <c r="AL184" s="860"/>
      <c r="AM184" s="860"/>
      <c r="AN184" s="860"/>
      <c r="AO184" s="860"/>
      <c r="AP184" s="860"/>
      <c r="AQ184" s="860"/>
      <c r="AR184" s="860"/>
      <c r="AS184" s="860"/>
      <c r="AT184" s="860"/>
      <c r="AU184" s="860"/>
      <c r="AV184" s="860"/>
      <c r="AW184" s="860"/>
      <c r="AX184" s="860"/>
      <c r="AY184" s="860"/>
      <c r="AZ184" s="860"/>
    </row>
    <row r="185" spans="1:52" ht="15" customHeight="1" x14ac:dyDescent="0.25">
      <c r="A185" s="860"/>
      <c r="B185" s="860"/>
      <c r="C185" s="860"/>
      <c r="D185" s="860"/>
      <c r="E185" s="860"/>
      <c r="F185" s="860"/>
      <c r="G185" s="860"/>
      <c r="H185" s="860"/>
      <c r="I185" s="860"/>
      <c r="J185" s="860"/>
      <c r="K185" s="860"/>
      <c r="L185" s="860"/>
      <c r="M185" s="860"/>
      <c r="N185" s="860"/>
      <c r="O185" s="860"/>
      <c r="P185" s="860"/>
      <c r="Q185" s="860"/>
      <c r="R185" s="860"/>
      <c r="S185" s="860"/>
      <c r="T185" s="860"/>
      <c r="U185" s="860"/>
      <c r="V185" s="860"/>
      <c r="W185" s="860"/>
      <c r="X185" s="860"/>
      <c r="Y185" s="860"/>
      <c r="Z185" s="860"/>
      <c r="AA185" s="860"/>
      <c r="AB185" s="860"/>
      <c r="AC185" s="860"/>
      <c r="AD185" s="860"/>
      <c r="AE185" s="860"/>
      <c r="AF185" s="860"/>
      <c r="AG185" s="860"/>
      <c r="AH185" s="860"/>
      <c r="AI185" s="860"/>
      <c r="AJ185" s="860"/>
      <c r="AK185" s="860"/>
      <c r="AL185" s="860"/>
      <c r="AM185" s="860"/>
      <c r="AN185" s="860"/>
      <c r="AO185" s="860"/>
      <c r="AP185" s="860"/>
      <c r="AQ185" s="860"/>
      <c r="AR185" s="860"/>
      <c r="AS185" s="860"/>
      <c r="AT185" s="860"/>
      <c r="AU185" s="860"/>
      <c r="AV185" s="860"/>
      <c r="AW185" s="860"/>
      <c r="AX185" s="860"/>
      <c r="AY185" s="860"/>
      <c r="AZ185" s="860"/>
    </row>
    <row r="186" spans="1:52" ht="15" customHeight="1" x14ac:dyDescent="0.25">
      <c r="A186" s="860"/>
      <c r="B186" s="860"/>
      <c r="C186" s="860"/>
      <c r="D186" s="860"/>
      <c r="E186" s="860"/>
      <c r="F186" s="860"/>
      <c r="G186" s="860"/>
      <c r="H186" s="860"/>
      <c r="I186" s="860"/>
      <c r="J186" s="860"/>
      <c r="K186" s="860"/>
      <c r="L186" s="860"/>
      <c r="M186" s="860"/>
      <c r="N186" s="860"/>
      <c r="O186" s="860"/>
      <c r="P186" s="860"/>
      <c r="Q186" s="860"/>
      <c r="R186" s="860"/>
      <c r="S186" s="860"/>
      <c r="T186" s="860"/>
      <c r="U186" s="860"/>
      <c r="V186" s="860"/>
      <c r="W186" s="860"/>
      <c r="X186" s="860"/>
      <c r="Y186" s="860"/>
      <c r="Z186" s="860"/>
      <c r="AA186" s="860"/>
      <c r="AB186" s="860"/>
      <c r="AC186" s="860"/>
      <c r="AD186" s="860"/>
      <c r="AE186" s="860"/>
      <c r="AF186" s="860"/>
      <c r="AG186" s="860"/>
      <c r="AH186" s="860"/>
      <c r="AI186" s="860"/>
      <c r="AJ186" s="860"/>
      <c r="AK186" s="860"/>
      <c r="AL186" s="860"/>
      <c r="AM186" s="860"/>
      <c r="AN186" s="860"/>
      <c r="AO186" s="860"/>
      <c r="AP186" s="860"/>
      <c r="AQ186" s="860"/>
      <c r="AR186" s="860"/>
      <c r="AS186" s="860"/>
      <c r="AT186" s="860"/>
      <c r="AU186" s="860"/>
      <c r="AV186" s="860"/>
      <c r="AW186" s="860"/>
      <c r="AX186" s="860"/>
      <c r="AY186" s="860"/>
      <c r="AZ186" s="860"/>
    </row>
    <row r="187" spans="1:52" ht="15" customHeight="1" x14ac:dyDescent="0.25">
      <c r="A187" s="860"/>
      <c r="B187" s="860"/>
      <c r="C187" s="860"/>
      <c r="D187" s="860"/>
      <c r="E187" s="860"/>
      <c r="F187" s="860"/>
      <c r="G187" s="860"/>
      <c r="H187" s="860"/>
      <c r="I187" s="860"/>
      <c r="J187" s="860"/>
      <c r="K187" s="860"/>
      <c r="L187" s="860"/>
      <c r="M187" s="860"/>
      <c r="N187" s="860"/>
      <c r="O187" s="860"/>
      <c r="P187" s="860"/>
      <c r="Q187" s="860"/>
      <c r="R187" s="860"/>
      <c r="S187" s="860"/>
      <c r="T187" s="860"/>
      <c r="U187" s="860"/>
      <c r="V187" s="860"/>
      <c r="W187" s="860"/>
      <c r="X187" s="860"/>
      <c r="Y187" s="860"/>
      <c r="Z187" s="860"/>
      <c r="AA187" s="860"/>
      <c r="AB187" s="860"/>
      <c r="AC187" s="860"/>
      <c r="AD187" s="860"/>
      <c r="AE187" s="860"/>
      <c r="AF187" s="860"/>
      <c r="AG187" s="860"/>
      <c r="AH187" s="860"/>
      <c r="AI187" s="860"/>
      <c r="AJ187" s="860"/>
      <c r="AK187" s="860"/>
      <c r="AL187" s="860"/>
      <c r="AM187" s="860"/>
      <c r="AN187" s="860"/>
      <c r="AO187" s="860"/>
      <c r="AP187" s="860"/>
      <c r="AQ187" s="860"/>
      <c r="AR187" s="860"/>
      <c r="AS187" s="860"/>
      <c r="AT187" s="860"/>
      <c r="AU187" s="860"/>
      <c r="AV187" s="860"/>
      <c r="AW187" s="860"/>
      <c r="AX187" s="860"/>
      <c r="AY187" s="860"/>
      <c r="AZ187" s="860"/>
    </row>
    <row r="188" spans="1:52" ht="15" customHeight="1" x14ac:dyDescent="0.25">
      <c r="A188" s="860"/>
      <c r="B188" s="860"/>
      <c r="C188" s="860"/>
      <c r="D188" s="860"/>
      <c r="E188" s="860"/>
      <c r="F188" s="860"/>
      <c r="G188" s="860"/>
      <c r="H188" s="860"/>
      <c r="I188" s="860"/>
      <c r="J188" s="860"/>
      <c r="K188" s="860"/>
      <c r="L188" s="860"/>
      <c r="M188" s="860"/>
      <c r="N188" s="860"/>
      <c r="O188" s="860"/>
      <c r="P188" s="860"/>
      <c r="Q188" s="860"/>
      <c r="R188" s="860"/>
      <c r="S188" s="860"/>
      <c r="T188" s="860"/>
      <c r="U188" s="860"/>
      <c r="V188" s="860"/>
      <c r="W188" s="860"/>
      <c r="X188" s="860"/>
      <c r="Y188" s="860"/>
      <c r="Z188" s="860"/>
      <c r="AA188" s="860"/>
      <c r="AB188" s="860"/>
      <c r="AC188" s="860"/>
      <c r="AD188" s="860"/>
      <c r="AE188" s="860"/>
      <c r="AF188" s="860"/>
      <c r="AG188" s="860"/>
      <c r="AH188" s="860"/>
      <c r="AI188" s="860"/>
      <c r="AJ188" s="860"/>
      <c r="AK188" s="860"/>
      <c r="AL188" s="860"/>
      <c r="AM188" s="860"/>
      <c r="AN188" s="860"/>
      <c r="AO188" s="860"/>
      <c r="AP188" s="860"/>
      <c r="AQ188" s="860"/>
      <c r="AR188" s="860"/>
      <c r="AS188" s="860"/>
      <c r="AT188" s="860"/>
      <c r="AU188" s="860"/>
      <c r="AV188" s="860"/>
      <c r="AW188" s="860"/>
      <c r="AX188" s="860"/>
      <c r="AY188" s="860"/>
      <c r="AZ188" s="860"/>
    </row>
    <row r="189" spans="1:52" ht="15" customHeight="1" x14ac:dyDescent="0.25">
      <c r="A189" s="860"/>
      <c r="B189" s="860"/>
      <c r="C189" s="860"/>
      <c r="D189" s="860"/>
      <c r="E189" s="860"/>
      <c r="F189" s="860"/>
      <c r="G189" s="860"/>
      <c r="H189" s="860"/>
      <c r="I189" s="860"/>
      <c r="J189" s="860"/>
      <c r="K189" s="860"/>
      <c r="L189" s="860"/>
      <c r="M189" s="860"/>
      <c r="N189" s="860"/>
      <c r="O189" s="860"/>
      <c r="P189" s="860"/>
      <c r="Q189" s="860"/>
      <c r="R189" s="860"/>
      <c r="S189" s="860"/>
      <c r="T189" s="860"/>
      <c r="U189" s="860"/>
      <c r="V189" s="860"/>
      <c r="W189" s="860"/>
      <c r="X189" s="860"/>
      <c r="Y189" s="860"/>
      <c r="Z189" s="860"/>
      <c r="AA189" s="860"/>
      <c r="AB189" s="860"/>
      <c r="AC189" s="860"/>
      <c r="AD189" s="860"/>
      <c r="AE189" s="860"/>
      <c r="AF189" s="860"/>
      <c r="AG189" s="860"/>
      <c r="AH189" s="860"/>
      <c r="AI189" s="860"/>
      <c r="AJ189" s="860"/>
      <c r="AK189" s="860"/>
      <c r="AL189" s="860"/>
      <c r="AM189" s="860"/>
      <c r="AN189" s="860"/>
      <c r="AO189" s="860"/>
      <c r="AP189" s="860"/>
      <c r="AQ189" s="860"/>
      <c r="AR189" s="860"/>
      <c r="AS189" s="860"/>
      <c r="AT189" s="860"/>
      <c r="AU189" s="860"/>
      <c r="AV189" s="860"/>
      <c r="AW189" s="860"/>
      <c r="AX189" s="860"/>
      <c r="AY189" s="860"/>
      <c r="AZ189" s="860"/>
    </row>
    <row r="190" spans="1:52" ht="15" customHeight="1" x14ac:dyDescent="0.25">
      <c r="A190" s="860"/>
      <c r="B190" s="860"/>
      <c r="C190" s="860"/>
      <c r="D190" s="860"/>
      <c r="E190" s="860"/>
      <c r="F190" s="860"/>
      <c r="G190" s="860"/>
      <c r="H190" s="860"/>
      <c r="I190" s="860"/>
      <c r="J190" s="860"/>
      <c r="K190" s="860"/>
      <c r="L190" s="860"/>
      <c r="M190" s="860"/>
      <c r="N190" s="860"/>
      <c r="O190" s="860"/>
      <c r="P190" s="860"/>
      <c r="Q190" s="860"/>
      <c r="R190" s="860"/>
      <c r="S190" s="860"/>
      <c r="T190" s="860"/>
      <c r="U190" s="860"/>
      <c r="V190" s="860"/>
      <c r="W190" s="860"/>
      <c r="X190" s="860"/>
      <c r="Y190" s="860"/>
      <c r="Z190" s="860"/>
      <c r="AA190" s="860"/>
      <c r="AB190" s="860"/>
      <c r="AC190" s="860"/>
      <c r="AD190" s="860"/>
      <c r="AE190" s="860"/>
      <c r="AF190" s="860"/>
      <c r="AG190" s="860"/>
      <c r="AH190" s="860"/>
      <c r="AI190" s="860"/>
      <c r="AJ190" s="860"/>
      <c r="AK190" s="860"/>
      <c r="AL190" s="860"/>
      <c r="AM190" s="860"/>
      <c r="AN190" s="860"/>
      <c r="AO190" s="860"/>
      <c r="AP190" s="860"/>
      <c r="AQ190" s="860"/>
      <c r="AR190" s="860"/>
      <c r="AS190" s="860"/>
      <c r="AT190" s="860"/>
      <c r="AU190" s="860"/>
      <c r="AV190" s="860"/>
      <c r="AW190" s="860"/>
      <c r="AX190" s="860"/>
      <c r="AY190" s="860"/>
      <c r="AZ190" s="860"/>
    </row>
    <row r="191" spans="1:52" ht="15" customHeight="1" x14ac:dyDescent="0.25">
      <c r="A191" s="860"/>
      <c r="B191" s="860"/>
      <c r="C191" s="860"/>
      <c r="D191" s="860"/>
      <c r="E191" s="860"/>
      <c r="F191" s="860"/>
      <c r="G191" s="860"/>
      <c r="H191" s="860"/>
      <c r="I191" s="860"/>
      <c r="J191" s="860"/>
      <c r="K191" s="860"/>
      <c r="L191" s="860"/>
      <c r="M191" s="860"/>
      <c r="N191" s="860"/>
      <c r="O191" s="860"/>
      <c r="P191" s="860"/>
      <c r="Q191" s="860"/>
      <c r="R191" s="860"/>
      <c r="S191" s="860"/>
      <c r="T191" s="860"/>
      <c r="U191" s="860"/>
      <c r="V191" s="860"/>
      <c r="W191" s="860"/>
      <c r="X191" s="860"/>
      <c r="Y191" s="860"/>
      <c r="Z191" s="860"/>
      <c r="AA191" s="860"/>
      <c r="AB191" s="860"/>
      <c r="AC191" s="860"/>
      <c r="AD191" s="860"/>
      <c r="AE191" s="860"/>
      <c r="AF191" s="860"/>
      <c r="AG191" s="860"/>
      <c r="AH191" s="860"/>
      <c r="AI191" s="860"/>
      <c r="AJ191" s="860"/>
      <c r="AK191" s="860"/>
      <c r="AL191" s="860"/>
      <c r="AM191" s="860"/>
      <c r="AN191" s="860"/>
      <c r="AO191" s="860"/>
      <c r="AP191" s="860"/>
      <c r="AQ191" s="860"/>
      <c r="AR191" s="860"/>
      <c r="AS191" s="860"/>
      <c r="AT191" s="860"/>
      <c r="AU191" s="860"/>
      <c r="AV191" s="860"/>
      <c r="AW191" s="860"/>
      <c r="AX191" s="860"/>
      <c r="AY191" s="860"/>
      <c r="AZ191" s="860"/>
    </row>
    <row r="192" spans="1:52" ht="15" customHeight="1" x14ac:dyDescent="0.25">
      <c r="A192" s="860"/>
      <c r="B192" s="860"/>
      <c r="C192" s="860"/>
      <c r="D192" s="860"/>
      <c r="E192" s="860"/>
      <c r="F192" s="860"/>
      <c r="G192" s="860"/>
      <c r="H192" s="860"/>
      <c r="I192" s="860"/>
      <c r="J192" s="860"/>
      <c r="K192" s="860"/>
      <c r="L192" s="860"/>
      <c r="M192" s="860"/>
      <c r="N192" s="860"/>
      <c r="O192" s="860"/>
      <c r="P192" s="860"/>
      <c r="Q192" s="860"/>
      <c r="R192" s="860"/>
      <c r="S192" s="860"/>
      <c r="T192" s="860"/>
      <c r="U192" s="860"/>
      <c r="V192" s="860"/>
      <c r="W192" s="860"/>
      <c r="X192" s="860"/>
      <c r="Y192" s="860"/>
      <c r="Z192" s="860"/>
      <c r="AA192" s="860"/>
      <c r="AB192" s="860"/>
      <c r="AC192" s="860"/>
      <c r="AD192" s="860"/>
      <c r="AE192" s="860"/>
      <c r="AF192" s="860"/>
      <c r="AG192" s="860"/>
      <c r="AH192" s="860"/>
      <c r="AI192" s="860"/>
      <c r="AJ192" s="860"/>
      <c r="AK192" s="860"/>
      <c r="AL192" s="860"/>
      <c r="AM192" s="860"/>
      <c r="AN192" s="860"/>
      <c r="AO192" s="860"/>
      <c r="AP192" s="860"/>
      <c r="AQ192" s="860"/>
      <c r="AR192" s="860"/>
      <c r="AS192" s="860"/>
      <c r="AT192" s="860"/>
      <c r="AU192" s="860"/>
      <c r="AV192" s="860"/>
      <c r="AW192" s="860"/>
      <c r="AX192" s="860"/>
      <c r="AY192" s="860"/>
      <c r="AZ192" s="860"/>
    </row>
    <row r="193" spans="1:52" ht="15" customHeight="1" x14ac:dyDescent="0.25">
      <c r="A193" s="860"/>
      <c r="B193" s="860"/>
      <c r="C193" s="860"/>
      <c r="D193" s="860"/>
      <c r="E193" s="860"/>
      <c r="F193" s="860"/>
      <c r="G193" s="860"/>
      <c r="H193" s="860"/>
      <c r="I193" s="860"/>
      <c r="J193" s="860"/>
      <c r="K193" s="860"/>
      <c r="L193" s="860"/>
      <c r="M193" s="860"/>
      <c r="N193" s="860"/>
      <c r="O193" s="860"/>
      <c r="P193" s="860"/>
      <c r="Q193" s="860"/>
      <c r="R193" s="860"/>
      <c r="S193" s="860"/>
      <c r="T193" s="860"/>
      <c r="U193" s="860"/>
      <c r="V193" s="860"/>
      <c r="W193" s="860"/>
      <c r="X193" s="860"/>
      <c r="Y193" s="860"/>
      <c r="Z193" s="860"/>
      <c r="AA193" s="860"/>
      <c r="AB193" s="860"/>
      <c r="AC193" s="860"/>
      <c r="AD193" s="860"/>
      <c r="AE193" s="860"/>
      <c r="AF193" s="860"/>
      <c r="AG193" s="860"/>
      <c r="AH193" s="860"/>
      <c r="AI193" s="860"/>
      <c r="AJ193" s="860"/>
      <c r="AK193" s="860"/>
      <c r="AL193" s="860"/>
      <c r="AM193" s="860"/>
      <c r="AN193" s="860"/>
      <c r="AO193" s="860"/>
      <c r="AP193" s="860"/>
      <c r="AQ193" s="860"/>
      <c r="AR193" s="860"/>
      <c r="AS193" s="860"/>
      <c r="AT193" s="860"/>
      <c r="AU193" s="860"/>
      <c r="AV193" s="860"/>
      <c r="AW193" s="860"/>
      <c r="AX193" s="860"/>
      <c r="AY193" s="860"/>
      <c r="AZ193" s="860"/>
    </row>
    <row r="194" spans="1:52" ht="15" customHeight="1" x14ac:dyDescent="0.25">
      <c r="A194" s="860"/>
      <c r="B194" s="860"/>
      <c r="C194" s="860"/>
      <c r="D194" s="860"/>
      <c r="E194" s="860"/>
      <c r="F194" s="860"/>
      <c r="G194" s="860"/>
      <c r="H194" s="860"/>
      <c r="I194" s="860"/>
      <c r="J194" s="860"/>
      <c r="K194" s="860"/>
      <c r="L194" s="860"/>
      <c r="M194" s="860"/>
      <c r="N194" s="860"/>
      <c r="O194" s="860"/>
      <c r="P194" s="860"/>
      <c r="Q194" s="860"/>
      <c r="R194" s="860"/>
      <c r="S194" s="860"/>
      <c r="T194" s="860"/>
      <c r="U194" s="860"/>
      <c r="V194" s="860"/>
      <c r="W194" s="860"/>
      <c r="X194" s="860"/>
      <c r="Y194" s="860"/>
      <c r="Z194" s="860"/>
      <c r="AA194" s="860"/>
      <c r="AB194" s="860"/>
      <c r="AC194" s="860"/>
      <c r="AD194" s="860"/>
      <c r="AE194" s="860"/>
      <c r="AF194" s="860"/>
      <c r="AG194" s="860"/>
      <c r="AH194" s="860"/>
      <c r="AI194" s="860"/>
      <c r="AJ194" s="860"/>
      <c r="AK194" s="860"/>
      <c r="AL194" s="860"/>
      <c r="AM194" s="860"/>
      <c r="AN194" s="860"/>
      <c r="AO194" s="860"/>
      <c r="AP194" s="860"/>
      <c r="AQ194" s="860"/>
      <c r="AR194" s="860"/>
      <c r="AS194" s="860"/>
      <c r="AT194" s="860"/>
      <c r="AU194" s="860"/>
      <c r="AV194" s="860"/>
      <c r="AW194" s="860"/>
      <c r="AX194" s="860"/>
      <c r="AY194" s="860"/>
      <c r="AZ194" s="860"/>
    </row>
    <row r="195" spans="1:52" ht="15" customHeight="1" x14ac:dyDescent="0.25">
      <c r="A195" s="860"/>
      <c r="B195" s="860"/>
      <c r="C195" s="860"/>
      <c r="D195" s="860"/>
      <c r="E195" s="860"/>
      <c r="F195" s="860"/>
      <c r="G195" s="860"/>
      <c r="H195" s="860"/>
      <c r="I195" s="860"/>
      <c r="J195" s="860"/>
      <c r="K195" s="860"/>
      <c r="L195" s="860"/>
      <c r="M195" s="860"/>
      <c r="N195" s="860"/>
      <c r="O195" s="860"/>
      <c r="P195" s="860"/>
      <c r="Q195" s="860"/>
      <c r="R195" s="860"/>
      <c r="S195" s="860"/>
      <c r="T195" s="860"/>
      <c r="U195" s="860"/>
      <c r="V195" s="860"/>
      <c r="W195" s="860"/>
      <c r="X195" s="860"/>
      <c r="Y195" s="860"/>
      <c r="Z195" s="860"/>
      <c r="AA195" s="860"/>
      <c r="AB195" s="860"/>
      <c r="AC195" s="860"/>
      <c r="AD195" s="860"/>
      <c r="AE195" s="860"/>
      <c r="AF195" s="860"/>
      <c r="AG195" s="860"/>
      <c r="AH195" s="860"/>
      <c r="AI195" s="860"/>
      <c r="AJ195" s="860"/>
      <c r="AK195" s="860"/>
      <c r="AL195" s="860"/>
      <c r="AM195" s="860"/>
      <c r="AN195" s="860"/>
      <c r="AO195" s="860"/>
      <c r="AP195" s="860"/>
      <c r="AQ195" s="860"/>
      <c r="AR195" s="860"/>
      <c r="AS195" s="860"/>
      <c r="AT195" s="860"/>
      <c r="AU195" s="860"/>
      <c r="AV195" s="860"/>
      <c r="AW195" s="860"/>
      <c r="AX195" s="860"/>
      <c r="AY195" s="860"/>
      <c r="AZ195" s="860"/>
    </row>
    <row r="196" spans="1:52" ht="0" hidden="1" customHeight="1" x14ac:dyDescent="0.25">
      <c r="A196" s="859"/>
      <c r="B196" s="859"/>
      <c r="C196" s="859"/>
      <c r="D196" s="859"/>
      <c r="E196" s="859"/>
      <c r="F196" s="859"/>
      <c r="G196" s="859"/>
      <c r="H196" s="859"/>
      <c r="I196" s="859"/>
      <c r="J196" s="859"/>
      <c r="K196" s="859"/>
      <c r="L196" s="859"/>
      <c r="M196" s="859"/>
      <c r="N196" s="859"/>
      <c r="O196" s="859"/>
      <c r="P196" s="859"/>
      <c r="Q196" s="859"/>
      <c r="R196" s="859"/>
      <c r="S196" s="859"/>
      <c r="T196" s="859"/>
      <c r="U196" s="859"/>
      <c r="V196" s="859"/>
      <c r="W196" s="859"/>
    </row>
    <row r="197" spans="1:52" ht="0" hidden="1" customHeight="1" x14ac:dyDescent="0.25">
      <c r="A197" s="859"/>
      <c r="B197" s="859"/>
      <c r="C197" s="859"/>
      <c r="D197" s="859"/>
      <c r="E197" s="859"/>
      <c r="F197" s="859"/>
      <c r="G197" s="859"/>
      <c r="H197" s="859"/>
      <c r="I197" s="859"/>
      <c r="J197" s="859"/>
      <c r="K197" s="859"/>
      <c r="L197" s="859"/>
      <c r="M197" s="859"/>
      <c r="N197" s="859"/>
      <c r="O197" s="859"/>
      <c r="P197" s="859"/>
      <c r="Q197" s="859"/>
      <c r="R197" s="859"/>
      <c r="S197" s="859"/>
      <c r="T197" s="859"/>
      <c r="U197" s="859"/>
      <c r="V197" s="859"/>
      <c r="W197" s="859"/>
    </row>
    <row r="198" spans="1:52" ht="0" hidden="1" customHeight="1" x14ac:dyDescent="0.25">
      <c r="A198" s="859"/>
      <c r="B198" s="859"/>
      <c r="C198" s="859"/>
      <c r="D198" s="859"/>
      <c r="E198" s="859"/>
      <c r="F198" s="859"/>
      <c r="G198" s="859"/>
      <c r="H198" s="859"/>
      <c r="I198" s="859"/>
      <c r="J198" s="859"/>
      <c r="K198" s="859"/>
      <c r="L198" s="859"/>
      <c r="M198" s="859"/>
      <c r="N198" s="859"/>
      <c r="O198" s="859"/>
      <c r="P198" s="859"/>
      <c r="Q198" s="859"/>
      <c r="R198" s="859"/>
      <c r="S198" s="859"/>
      <c r="T198" s="859"/>
      <c r="U198" s="859"/>
      <c r="V198" s="859"/>
      <c r="W198" s="859"/>
    </row>
    <row r="199" spans="1:52" ht="0" hidden="1" customHeight="1" x14ac:dyDescent="0.25">
      <c r="A199" s="859"/>
      <c r="B199" s="859"/>
      <c r="C199" s="859"/>
      <c r="D199" s="859"/>
      <c r="E199" s="859"/>
      <c r="F199" s="859"/>
      <c r="G199" s="859"/>
      <c r="H199" s="859"/>
      <c r="I199" s="859"/>
      <c r="J199" s="859"/>
      <c r="K199" s="859"/>
      <c r="L199" s="859"/>
      <c r="M199" s="859"/>
      <c r="N199" s="859"/>
      <c r="O199" s="859"/>
      <c r="P199" s="859"/>
      <c r="Q199" s="859"/>
      <c r="R199" s="859"/>
      <c r="S199" s="859"/>
      <c r="T199" s="859"/>
      <c r="U199" s="859"/>
      <c r="V199" s="859"/>
      <c r="W199" s="859"/>
    </row>
    <row r="200" spans="1:52" ht="0" hidden="1" customHeight="1" x14ac:dyDescent="0.25">
      <c r="A200" s="859"/>
      <c r="B200" s="859"/>
      <c r="C200" s="859"/>
      <c r="D200" s="859"/>
      <c r="E200" s="859"/>
      <c r="F200" s="859"/>
      <c r="G200" s="859"/>
      <c r="H200" s="859"/>
      <c r="I200" s="859"/>
      <c r="J200" s="859"/>
      <c r="K200" s="859"/>
      <c r="L200" s="859"/>
      <c r="M200" s="859"/>
      <c r="N200" s="859"/>
      <c r="O200" s="859"/>
      <c r="P200" s="859"/>
      <c r="Q200" s="859"/>
      <c r="R200" s="859"/>
      <c r="S200" s="859"/>
      <c r="T200" s="859"/>
      <c r="U200" s="859"/>
      <c r="V200" s="859"/>
      <c r="W200" s="859"/>
    </row>
  </sheetData>
  <sheetProtection formatCells="0" formatColumns="0" formatRows="0" autoFilter="0"/>
  <conditionalFormatting sqref="B1">
    <cfRule type="cellIs" dxfId="20" priority="1" operator="equal">
      <formula>"Review Later"</formula>
    </cfRule>
    <cfRule type="cellIs" dxfId="19" priority="2" operator="equal">
      <formula>"Finished"</formula>
    </cfRule>
    <cfRule type="cellIs" dxfId="18" priority="3" operator="equal">
      <formula>"Incomplete"</formula>
    </cfRule>
  </conditionalFormatting>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x14ac:dyDescent="0.25"/>
  <cols>
    <col min="1" max="1" width="11.6640625" style="656" customWidth="1"/>
    <col min="2" max="2" width="14.44140625" style="656" customWidth="1"/>
    <col min="3" max="3" width="17.6640625" style="656" customWidth="1"/>
    <col min="4" max="5" width="13.6640625" style="656" customWidth="1"/>
    <col min="6" max="12" width="12.33203125" style="656" customWidth="1"/>
    <col min="13" max="52" width="9.109375" style="656" customWidth="1"/>
    <col min="53" max="55" width="0" style="656" hidden="1" customWidth="1"/>
    <col min="56" max="16384" width="9.109375" style="656" hidden="1"/>
  </cols>
  <sheetData>
    <row r="1" spans="1:52" ht="14.7" customHeight="1" thickBot="1" x14ac:dyDescent="0.3">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7" customHeight="1" x14ac:dyDescent="0.25">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7" customHeight="1" x14ac:dyDescent="0.25">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7" customHeight="1" x14ac:dyDescent="0.25">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7" customHeight="1" thickBot="1" x14ac:dyDescent="0.3">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7" customHeight="1" x14ac:dyDescent="0.25">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7" customHeight="1" thickBot="1" x14ac:dyDescent="0.3">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7" customHeight="1" x14ac:dyDescent="0.25">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7" customHeight="1" x14ac:dyDescent="0.25">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7" customHeight="1" x14ac:dyDescent="0.25">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7" customHeight="1" thickBot="1" x14ac:dyDescent="0.3">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7" customHeight="1" thickBot="1" x14ac:dyDescent="0.3">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7" customHeight="1" x14ac:dyDescent="0.25">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7" customHeight="1" thickBot="1" x14ac:dyDescent="0.3">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7" customHeight="1" x14ac:dyDescent="0.25">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7" customHeight="1" x14ac:dyDescent="0.25">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7" customHeight="1" x14ac:dyDescent="0.25">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7" customHeight="1" thickBot="1" x14ac:dyDescent="0.3">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7" customHeight="1" thickBot="1" x14ac:dyDescent="0.3">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7" customHeight="1" x14ac:dyDescent="0.25">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7" customHeight="1" x14ac:dyDescent="0.25">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7" customHeight="1" x14ac:dyDescent="0.25">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7" customHeight="1" x14ac:dyDescent="0.25">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7" customHeight="1" thickBot="1" x14ac:dyDescent="0.3">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7" customHeight="1" x14ac:dyDescent="0.25">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7" customHeight="1" x14ac:dyDescent="0.25">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7" customHeight="1" x14ac:dyDescent="0.25">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7" customHeight="1" thickBot="1" x14ac:dyDescent="0.3">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7" customHeight="1" x14ac:dyDescent="0.25">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7" customHeight="1" x14ac:dyDescent="0.25">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7" customHeight="1" x14ac:dyDescent="0.25">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7" customHeight="1" x14ac:dyDescent="0.25">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7" customHeight="1" x14ac:dyDescent="0.25">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7" customHeight="1" x14ac:dyDescent="0.25">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7" customHeight="1" x14ac:dyDescent="0.25">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7" customHeight="1" x14ac:dyDescent="0.25">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7" customHeight="1" x14ac:dyDescent="0.25">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7" customHeight="1" x14ac:dyDescent="0.25">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7" customHeight="1" x14ac:dyDescent="0.25">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7" customHeight="1" thickBot="1" x14ac:dyDescent="0.3">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7" customHeight="1" x14ac:dyDescent="0.25">
      <c r="A41" s="660"/>
      <c r="B41" s="941" t="s">
        <v>1143</v>
      </c>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7" customHeight="1" x14ac:dyDescent="0.25">
      <c r="A42" s="660" t="s">
        <v>338</v>
      </c>
      <c r="B42" s="660"/>
      <c r="C42" s="660" t="s">
        <v>1142</v>
      </c>
      <c r="D42" s="660" t="s">
        <v>1141</v>
      </c>
      <c r="E42" s="660" t="s">
        <v>1140</v>
      </c>
      <c r="F42" s="660" t="s">
        <v>1136</v>
      </c>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7" customHeight="1" x14ac:dyDescent="0.25">
      <c r="A43" s="660"/>
      <c r="B43" s="660"/>
      <c r="C43" s="701">
        <f>D8/C8</f>
        <v>6</v>
      </c>
      <c r="D43" s="660">
        <f>E8/D8</f>
        <v>2</v>
      </c>
      <c r="E43" s="660">
        <f>F8/E8</f>
        <v>1.1000000000000001</v>
      </c>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7" customHeight="1" x14ac:dyDescent="0.25">
      <c r="A44" s="660"/>
      <c r="B44" s="660"/>
      <c r="C44" s="701">
        <f>D9/C9</f>
        <v>6</v>
      </c>
      <c r="D44" s="660">
        <f>E9/D9</f>
        <v>2</v>
      </c>
      <c r="E44" s="660"/>
      <c r="F44" s="660"/>
      <c r="G44" s="878" t="s">
        <v>686</v>
      </c>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7" customHeight="1" x14ac:dyDescent="0.25">
      <c r="A45" s="660"/>
      <c r="B45" s="660"/>
      <c r="C45" s="701">
        <f>D10/C10</f>
        <v>6</v>
      </c>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7" customHeight="1" x14ac:dyDescent="0.25">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7" customHeight="1" x14ac:dyDescent="0.25">
      <c r="A47" s="660"/>
      <c r="B47" s="660" t="s">
        <v>1133</v>
      </c>
      <c r="C47" s="660">
        <f>AVERAGE(C43:C45)</f>
        <v>6</v>
      </c>
      <c r="D47" s="660">
        <f>AVERAGE(D43:D45)</f>
        <v>2</v>
      </c>
      <c r="E47" s="660">
        <f>AVERAGE(E43:E45)</f>
        <v>1.1000000000000001</v>
      </c>
      <c r="F47" s="660">
        <v>1</v>
      </c>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7" customHeight="1" x14ac:dyDescent="0.25">
      <c r="A48" s="660"/>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7" customHeight="1" x14ac:dyDescent="0.25">
      <c r="A49" s="660"/>
      <c r="B49" s="660"/>
      <c r="C49" s="660" t="s">
        <v>1139</v>
      </c>
      <c r="D49" s="660" t="s">
        <v>1138</v>
      </c>
      <c r="E49" s="660" t="s">
        <v>1137</v>
      </c>
      <c r="F49" s="660" t="s">
        <v>1136</v>
      </c>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7" customHeight="1" x14ac:dyDescent="0.25">
      <c r="A50" s="660"/>
      <c r="B50" s="660" t="s">
        <v>155</v>
      </c>
      <c r="C50" s="660">
        <f>PRODUCT(C47:$F$47)</f>
        <v>13.200000000000001</v>
      </c>
      <c r="D50" s="660">
        <f>PRODUCT(D47:$F$47)</f>
        <v>2.2000000000000002</v>
      </c>
      <c r="E50" s="660">
        <f>PRODUCT(E47:$F$47)</f>
        <v>1.1000000000000001</v>
      </c>
      <c r="F50" s="660">
        <f>PRODUCT(F47:$F$47)</f>
        <v>1</v>
      </c>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7" customHeight="1" x14ac:dyDescent="0.25">
      <c r="A51" s="660"/>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7" customHeight="1" x14ac:dyDescent="0.25">
      <c r="A52" s="660"/>
      <c r="B52" s="660" t="s">
        <v>94</v>
      </c>
      <c r="C52" s="660" t="s">
        <v>1135</v>
      </c>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7" customHeight="1" x14ac:dyDescent="0.25">
      <c r="A53" s="660"/>
      <c r="B53" s="660">
        <f>B25</f>
        <v>2014</v>
      </c>
      <c r="C53" s="660">
        <f>F50*F8</f>
        <v>4224</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7" customHeight="1" x14ac:dyDescent="0.25">
      <c r="A54" s="660"/>
      <c r="B54" s="660">
        <f>B26</f>
        <v>2015</v>
      </c>
      <c r="C54" s="660">
        <f>E50*E9</f>
        <v>3696.0000000000005</v>
      </c>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7" customHeight="1" x14ac:dyDescent="0.25">
      <c r="A55" s="660"/>
      <c r="B55" s="660">
        <f>B27</f>
        <v>2016</v>
      </c>
      <c r="C55" s="660">
        <f>D50*D10</f>
        <v>4356</v>
      </c>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7" customHeight="1" x14ac:dyDescent="0.25">
      <c r="A56" s="660"/>
      <c r="B56" s="937">
        <f>B28</f>
        <v>2017</v>
      </c>
      <c r="C56" s="937">
        <f>C50*C11</f>
        <v>4488</v>
      </c>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7" customHeight="1" x14ac:dyDescent="0.25">
      <c r="A57" s="660"/>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7" customHeight="1" x14ac:dyDescent="0.25">
      <c r="A58" s="660"/>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7" customHeight="1" x14ac:dyDescent="0.25">
      <c r="A59" s="660" t="s">
        <v>342</v>
      </c>
      <c r="B59" s="941" t="s">
        <v>1134</v>
      </c>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7" customHeight="1" x14ac:dyDescent="0.25">
      <c r="A60" s="660"/>
      <c r="B60" s="660"/>
      <c r="C60" s="660" t="str">
        <f>C42</f>
        <v>12 to 24</v>
      </c>
      <c r="D60" s="660" t="str">
        <f>D42</f>
        <v>24 to 36</v>
      </c>
      <c r="E60" s="660" t="str">
        <f>E42</f>
        <v>36 to 48</v>
      </c>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7" customHeight="1" x14ac:dyDescent="0.25">
      <c r="A61" s="660"/>
      <c r="B61" s="660">
        <f>B15</f>
        <v>2014</v>
      </c>
      <c r="C61" s="940">
        <f>D15-C15</f>
        <v>0.04</v>
      </c>
      <c r="D61" s="940">
        <f>E15-D15</f>
        <v>2.0000000000000004E-2</v>
      </c>
      <c r="E61" s="940">
        <f>F15-E15</f>
        <v>0</v>
      </c>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7" customHeight="1" x14ac:dyDescent="0.25">
      <c r="A62" s="660"/>
      <c r="B62" s="660">
        <f>B16</f>
        <v>2015</v>
      </c>
      <c r="C62" s="940">
        <f>D16-C16</f>
        <v>0.04</v>
      </c>
      <c r="D62" s="940">
        <f>E16-D16</f>
        <v>2.0000000000000004E-2</v>
      </c>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7" customHeight="1" x14ac:dyDescent="0.25">
      <c r="A63" s="660"/>
      <c r="B63" s="660">
        <f>B17</f>
        <v>2016</v>
      </c>
      <c r="C63" s="940">
        <f>D17-C17</f>
        <v>0.04</v>
      </c>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7" customHeight="1" x14ac:dyDescent="0.25">
      <c r="A64" s="660"/>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7" customHeight="1" x14ac:dyDescent="0.25">
      <c r="A65" s="660"/>
      <c r="B65" s="660" t="s">
        <v>1133</v>
      </c>
      <c r="C65" s="940">
        <f>AVERAGE(C61:C63)</f>
        <v>0.04</v>
      </c>
      <c r="D65" s="940">
        <f>AVERAGE(D61:D63)</f>
        <v>2.0000000000000004E-2</v>
      </c>
      <c r="E65" s="940">
        <f>AVERAGE(E61:E63)</f>
        <v>0</v>
      </c>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7" customHeight="1" x14ac:dyDescent="0.25">
      <c r="A66" s="660"/>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7" customHeight="1" x14ac:dyDescent="0.25">
      <c r="A67" s="660"/>
      <c r="B67" s="660"/>
      <c r="C67" s="660"/>
      <c r="D67" s="660"/>
      <c r="E67" s="660"/>
      <c r="F67" s="660"/>
      <c r="G67" s="878" t="s">
        <v>686</v>
      </c>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7" customHeight="1" x14ac:dyDescent="0.25">
      <c r="A68" s="660"/>
      <c r="B68" s="937" t="str">
        <f>B52</f>
        <v>Year</v>
      </c>
      <c r="C68" s="933" t="s">
        <v>1132</v>
      </c>
      <c r="D68" s="933" t="s">
        <v>1131</v>
      </c>
      <c r="E68" s="937" t="s">
        <v>1130</v>
      </c>
      <c r="F68" s="937"/>
      <c r="G68" s="937"/>
      <c r="H68" s="937"/>
      <c r="I68" s="937"/>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7" customHeight="1" x14ac:dyDescent="0.25">
      <c r="A69" s="660"/>
      <c r="B69" s="937">
        <f>B53</f>
        <v>2014</v>
      </c>
      <c r="C69" s="939">
        <f>F15</f>
        <v>0.1</v>
      </c>
      <c r="D69" s="938">
        <f>D25*C69</f>
        <v>4224</v>
      </c>
      <c r="E69" s="937">
        <f>D25*0.1</f>
        <v>4224</v>
      </c>
      <c r="F69" s="937"/>
      <c r="G69" s="937"/>
      <c r="H69" s="937"/>
      <c r="I69" s="937"/>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7" customHeight="1" x14ac:dyDescent="0.25">
      <c r="A70" s="660"/>
      <c r="B70" s="937">
        <f>B54</f>
        <v>2015</v>
      </c>
      <c r="C70" s="939">
        <f>E65+E16</f>
        <v>0.1</v>
      </c>
      <c r="D70" s="938">
        <f>D26*C70</f>
        <v>3696</v>
      </c>
      <c r="E70" s="937">
        <f>D26*0.1</f>
        <v>3696</v>
      </c>
      <c r="F70" s="937"/>
      <c r="G70" s="660" t="s">
        <v>1129</v>
      </c>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7" customHeight="1" x14ac:dyDescent="0.25">
      <c r="A71" s="660"/>
      <c r="B71" s="937">
        <f>B55</f>
        <v>2016</v>
      </c>
      <c r="C71" s="939">
        <f>SUM(D65:E65,D17)</f>
        <v>0.1</v>
      </c>
      <c r="D71" s="938">
        <f>D27*C71</f>
        <v>4356</v>
      </c>
      <c r="E71" s="937">
        <f>D27*0.1</f>
        <v>4356</v>
      </c>
      <c r="F71" s="937"/>
      <c r="G71" s="660" t="s">
        <v>1128</v>
      </c>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7" customHeight="1" x14ac:dyDescent="0.25">
      <c r="A72" s="660"/>
      <c r="B72" s="937">
        <f>B56</f>
        <v>2017</v>
      </c>
      <c r="C72" s="939">
        <f>C65+D65+E65+C18</f>
        <v>0.14000000000000001</v>
      </c>
      <c r="D72" s="938">
        <f>D28*C72</f>
        <v>9301.6</v>
      </c>
      <c r="E72" s="937">
        <f>D28*0.1</f>
        <v>6644</v>
      </c>
      <c r="F72" s="937"/>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7" customHeight="1" x14ac:dyDescent="0.25">
      <c r="A73" s="660"/>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7" customHeight="1" x14ac:dyDescent="0.25">
      <c r="A74" s="660"/>
      <c r="B74" s="660"/>
      <c r="C74" s="660"/>
      <c r="D74" s="660"/>
      <c r="E74" s="937">
        <f>0.1*C28</f>
        <v>3500</v>
      </c>
      <c r="F74" s="937" t="s">
        <v>1127</v>
      </c>
      <c r="G74" s="937"/>
      <c r="H74" s="937"/>
      <c r="I74" s="937"/>
      <c r="J74" s="937"/>
      <c r="K74" s="937"/>
      <c r="L74" s="937"/>
      <c r="M74" s="937"/>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7" customHeight="1" x14ac:dyDescent="0.25">
      <c r="A75" s="660" t="s">
        <v>717</v>
      </c>
      <c r="B75" s="660" t="s">
        <v>1126</v>
      </c>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7" customHeight="1" x14ac:dyDescent="0.25">
      <c r="A76" s="660"/>
      <c r="B76" s="660" t="s">
        <v>1125</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7" customHeight="1" x14ac:dyDescent="0.25">
      <c r="A77" s="660"/>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7" customHeight="1" x14ac:dyDescent="0.25">
      <c r="A78" s="660"/>
      <c r="B78" s="937" t="s">
        <v>1124</v>
      </c>
      <c r="C78" s="937"/>
      <c r="D78" s="937"/>
      <c r="E78" s="937"/>
      <c r="F78" s="937"/>
      <c r="G78" s="937"/>
      <c r="H78" s="937"/>
      <c r="I78" s="937"/>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7" customHeight="1" x14ac:dyDescent="0.25">
      <c r="A79" s="660"/>
      <c r="B79" s="937" t="s">
        <v>1123</v>
      </c>
      <c r="C79" s="937"/>
      <c r="D79" s="937"/>
      <c r="E79" s="937"/>
      <c r="F79" s="937"/>
      <c r="G79" s="937"/>
      <c r="H79" s="937"/>
      <c r="I79" s="937"/>
      <c r="J79" s="937"/>
      <c r="K79" s="937"/>
      <c r="L79" s="937"/>
      <c r="M79" s="937"/>
      <c r="N79" s="937"/>
      <c r="O79" s="937"/>
      <c r="P79" s="937"/>
      <c r="Q79" s="937"/>
      <c r="R79" s="937"/>
      <c r="S79" s="937"/>
      <c r="T79" s="937"/>
      <c r="U79" s="937"/>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7" customHeight="1" x14ac:dyDescent="0.25">
      <c r="A80" s="660"/>
      <c r="B80" s="660"/>
      <c r="C80" s="937">
        <f>E72</f>
        <v>6644</v>
      </c>
      <c r="D80" s="937" t="s">
        <v>1122</v>
      </c>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7" customHeight="1" x14ac:dyDescent="0.25">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7" customHeight="1" x14ac:dyDescent="0.25">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7" customHeight="1" x14ac:dyDescent="0.25">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7" customHeight="1" x14ac:dyDescent="0.25">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7" customHeight="1" x14ac:dyDescent="0.25">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7" customHeight="1" x14ac:dyDescent="0.25">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7" customHeight="1" x14ac:dyDescent="0.25">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7" customHeight="1" x14ac:dyDescent="0.25">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7" customHeight="1" x14ac:dyDescent="0.25">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7" customHeight="1" x14ac:dyDescent="0.25">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7" customHeight="1" x14ac:dyDescent="0.25">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7" customHeight="1" x14ac:dyDescent="0.25">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7" customHeight="1" x14ac:dyDescent="0.25">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7" customHeight="1" x14ac:dyDescent="0.25">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7" customHeight="1" x14ac:dyDescent="0.25">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7" customHeight="1" x14ac:dyDescent="0.25">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7" customHeight="1" x14ac:dyDescent="0.25">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7" customHeight="1" x14ac:dyDescent="0.25">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7" customHeight="1" x14ac:dyDescent="0.25">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7" customHeight="1" x14ac:dyDescent="0.25">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7" customHeight="1" x14ac:dyDescent="0.25">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7" customHeight="1" x14ac:dyDescent="0.25">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7" customHeight="1" x14ac:dyDescent="0.25">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7" customHeight="1" x14ac:dyDescent="0.25">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7" customHeight="1" x14ac:dyDescent="0.25">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7" customHeight="1" x14ac:dyDescent="0.25">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7" customHeight="1" x14ac:dyDescent="0.25">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7" customHeight="1" x14ac:dyDescent="0.25">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7" customHeight="1" x14ac:dyDescent="0.25">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7" customHeight="1" x14ac:dyDescent="0.25">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7" customHeight="1" x14ac:dyDescent="0.25">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7" customHeight="1" x14ac:dyDescent="0.25">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7" customHeight="1" x14ac:dyDescent="0.25">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7" customHeight="1" x14ac:dyDescent="0.25">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7" customHeight="1" x14ac:dyDescent="0.25">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7" customHeight="1" x14ac:dyDescent="0.25">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7" customHeight="1" x14ac:dyDescent="0.25">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7" customHeight="1" x14ac:dyDescent="0.25">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7" customHeight="1" x14ac:dyDescent="0.25">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7" customHeight="1" x14ac:dyDescent="0.25">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7" customHeight="1" x14ac:dyDescent="0.25">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7" customHeight="1" x14ac:dyDescent="0.25">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7" customHeight="1" x14ac:dyDescent="0.25">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7" customHeight="1" x14ac:dyDescent="0.25">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7" customHeight="1" x14ac:dyDescent="0.25">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7" customHeight="1" x14ac:dyDescent="0.25">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7" customHeight="1" x14ac:dyDescent="0.25">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7" customHeight="1" x14ac:dyDescent="0.25">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7" customHeight="1" x14ac:dyDescent="0.25">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7" customHeight="1" x14ac:dyDescent="0.25">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7" customHeight="1" x14ac:dyDescent="0.25">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7" customHeight="1" x14ac:dyDescent="0.25">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7" customHeight="1" x14ac:dyDescent="0.25">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7" customHeight="1" x14ac:dyDescent="0.25">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7" customHeight="1" x14ac:dyDescent="0.25">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7" customHeight="1" x14ac:dyDescent="0.25">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7" customHeight="1" x14ac:dyDescent="0.25">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7" customHeight="1" x14ac:dyDescent="0.25">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7" customHeight="1" x14ac:dyDescent="0.25">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7" customHeight="1" x14ac:dyDescent="0.25">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7" customHeight="1" x14ac:dyDescent="0.25">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7" customHeight="1" x14ac:dyDescent="0.25">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7" customHeight="1" x14ac:dyDescent="0.25">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7" customHeight="1" x14ac:dyDescent="0.25">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7" customHeight="1" x14ac:dyDescent="0.25">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7" customHeight="1" x14ac:dyDescent="0.25">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7" customHeight="1" x14ac:dyDescent="0.25">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7" customHeight="1" x14ac:dyDescent="0.25">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7" customHeight="1" x14ac:dyDescent="0.25">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7" customHeight="1" x14ac:dyDescent="0.25">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7" customHeight="1" x14ac:dyDescent="0.25">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7" customHeight="1" x14ac:dyDescent="0.25">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7" customHeight="1" x14ac:dyDescent="0.25">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7" customHeight="1" x14ac:dyDescent="0.25">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7" customHeight="1" x14ac:dyDescent="0.25">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7" customHeight="1" x14ac:dyDescent="0.25">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7" customHeight="1" x14ac:dyDescent="0.25">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7" customHeight="1" x14ac:dyDescent="0.25">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7" customHeight="1" x14ac:dyDescent="0.25">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7" customHeight="1" x14ac:dyDescent="0.25">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7" customHeight="1" x14ac:dyDescent="0.25">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7" customHeight="1" x14ac:dyDescent="0.25">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7" customHeight="1" x14ac:dyDescent="0.25">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7" customHeight="1" x14ac:dyDescent="0.25">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7" customHeight="1" x14ac:dyDescent="0.25">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7" customHeight="1" x14ac:dyDescent="0.25">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7" customHeight="1" x14ac:dyDescent="0.25">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7" customHeight="1" x14ac:dyDescent="0.25">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7" customHeight="1" x14ac:dyDescent="0.25">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7" customHeight="1" x14ac:dyDescent="0.25">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7" customHeight="1" x14ac:dyDescent="0.25">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7" customHeight="1" x14ac:dyDescent="0.25">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7" customHeight="1" x14ac:dyDescent="0.25">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7" customHeight="1" x14ac:dyDescent="0.25">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7" customHeight="1" x14ac:dyDescent="0.25">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7" customHeight="1" x14ac:dyDescent="0.25">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7" customHeight="1" x14ac:dyDescent="0.25">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7" customHeight="1" x14ac:dyDescent="0.25">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7" customHeight="1" x14ac:dyDescent="0.25">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7" customHeight="1" x14ac:dyDescent="0.25">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7" customHeight="1" x14ac:dyDescent="0.25">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7" customHeight="1" x14ac:dyDescent="0.25">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7" customHeight="1" x14ac:dyDescent="0.25">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7" customHeight="1" x14ac:dyDescent="0.25">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7" customHeight="1" x14ac:dyDescent="0.25">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7" customHeight="1" x14ac:dyDescent="0.25">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7" customHeight="1" x14ac:dyDescent="0.25">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7" customHeight="1" x14ac:dyDescent="0.25">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7" customHeight="1" x14ac:dyDescent="0.25">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7" customHeight="1" x14ac:dyDescent="0.25">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7" customHeight="1" x14ac:dyDescent="0.25">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7" customHeight="1" x14ac:dyDescent="0.25">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7" customHeight="1" x14ac:dyDescent="0.25">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7" customHeight="1" x14ac:dyDescent="0.25">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7" customHeight="1" x14ac:dyDescent="0.25">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17" priority="1" operator="equal">
      <formula>"Review Later"</formula>
    </cfRule>
    <cfRule type="cellIs" dxfId="16" priority="2" operator="equal">
      <formula>"Finished"</formula>
    </cfRule>
    <cfRule type="cellIs" dxfId="15" priority="3" operator="equal">
      <formula>"Incomplete"</formula>
    </cfRule>
  </conditionalFormatting>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x14ac:dyDescent="0.25"/>
  <cols>
    <col min="1" max="1" width="11.6640625" style="656" customWidth="1"/>
    <col min="2" max="2" width="14.44140625" style="656" customWidth="1"/>
    <col min="3" max="3" width="17.6640625" style="656" customWidth="1"/>
    <col min="4" max="4" width="18" style="656" customWidth="1"/>
    <col min="5" max="5" width="13.6640625" style="656" customWidth="1"/>
    <col min="6" max="6" width="14" style="656" customWidth="1"/>
    <col min="7" max="7" width="12.33203125" style="656" customWidth="1"/>
    <col min="8" max="8" width="14.109375" style="656" customWidth="1"/>
    <col min="9" max="9" width="13.44140625" style="656" customWidth="1"/>
    <col min="10" max="12" width="12.33203125" style="656" customWidth="1"/>
    <col min="13" max="52" width="9.109375" style="656" customWidth="1"/>
    <col min="53" max="55" width="0" style="656" hidden="1" customWidth="1"/>
    <col min="56" max="16384" width="9.109375" style="656" hidden="1"/>
  </cols>
  <sheetData>
    <row r="1" spans="1:52" ht="14.7" customHeight="1" thickBot="1" x14ac:dyDescent="0.3">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7" customHeight="1" x14ac:dyDescent="0.25">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7" customHeight="1" x14ac:dyDescent="0.25">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7" customHeight="1" x14ac:dyDescent="0.25">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7" customHeight="1" thickBot="1" x14ac:dyDescent="0.3">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7" customHeight="1" x14ac:dyDescent="0.25">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7" customHeight="1" thickBot="1" x14ac:dyDescent="0.3">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7" customHeight="1" x14ac:dyDescent="0.25">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7" customHeight="1" x14ac:dyDescent="0.25">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7" customHeight="1" x14ac:dyDescent="0.25">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7" customHeight="1" thickBot="1" x14ac:dyDescent="0.3">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7" customHeight="1" thickBot="1" x14ac:dyDescent="0.3">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7" customHeight="1" x14ac:dyDescent="0.25">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7" customHeight="1" thickBot="1" x14ac:dyDescent="0.3">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7" customHeight="1" x14ac:dyDescent="0.25">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7" customHeight="1" x14ac:dyDescent="0.25">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7" customHeight="1" x14ac:dyDescent="0.25">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7" customHeight="1" thickBot="1" x14ac:dyDescent="0.3">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7" customHeight="1" thickBot="1" x14ac:dyDescent="0.3">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7" customHeight="1" x14ac:dyDescent="0.25">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7" customHeight="1" x14ac:dyDescent="0.25">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7" customHeight="1" x14ac:dyDescent="0.25">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7" customHeight="1" x14ac:dyDescent="0.25">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7" customHeight="1" thickBot="1" x14ac:dyDescent="0.3">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7" customHeight="1" x14ac:dyDescent="0.25">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7" customHeight="1" x14ac:dyDescent="0.25">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7" customHeight="1" x14ac:dyDescent="0.25">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7" customHeight="1" thickBot="1" x14ac:dyDescent="0.3">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7" customHeight="1" x14ac:dyDescent="0.25">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7" customHeight="1" x14ac:dyDescent="0.25">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7" customHeight="1" x14ac:dyDescent="0.25">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7" customHeight="1" x14ac:dyDescent="0.25">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7" customHeight="1" x14ac:dyDescent="0.25">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7" customHeight="1" x14ac:dyDescent="0.25">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7" customHeight="1" x14ac:dyDescent="0.25">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7" customHeight="1" x14ac:dyDescent="0.25">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7" customHeight="1" x14ac:dyDescent="0.25">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7" customHeight="1" x14ac:dyDescent="0.25">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7" customHeight="1" x14ac:dyDescent="0.25">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7" customHeight="1" thickBot="1" x14ac:dyDescent="0.3">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7" customHeight="1" x14ac:dyDescent="0.25">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7" customHeight="1" x14ac:dyDescent="0.25">
      <c r="A42" s="660"/>
      <c r="B42" s="660" t="s">
        <v>0</v>
      </c>
      <c r="C42" s="946" t="s">
        <v>117</v>
      </c>
      <c r="D42" s="952" t="s">
        <v>1159</v>
      </c>
      <c r="E42" s="951"/>
      <c r="F42" s="951"/>
      <c r="G42" s="951"/>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7" customHeight="1" x14ac:dyDescent="0.25">
      <c r="A43" s="660"/>
      <c r="B43" s="660"/>
      <c r="C43" s="946" t="s">
        <v>94</v>
      </c>
      <c r="D43" s="950">
        <v>12</v>
      </c>
      <c r="E43" s="950">
        <v>24</v>
      </c>
      <c r="F43" s="950">
        <v>36</v>
      </c>
      <c r="G43" s="950">
        <v>48</v>
      </c>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7" customHeight="1" x14ac:dyDescent="0.25">
      <c r="A44" s="660"/>
      <c r="B44" s="660"/>
      <c r="C44" s="945">
        <v>2014</v>
      </c>
      <c r="D44" s="949">
        <f>D8/C8</f>
        <v>6</v>
      </c>
      <c r="E44" s="949">
        <f>E8/D8</f>
        <v>2</v>
      </c>
      <c r="F44" s="949">
        <f>F8/E8</f>
        <v>1.1000000000000001</v>
      </c>
      <c r="G44" s="947"/>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7" customHeight="1" x14ac:dyDescent="0.25">
      <c r="A45" s="660"/>
      <c r="B45" s="660"/>
      <c r="C45" s="945">
        <v>2015</v>
      </c>
      <c r="D45" s="949">
        <f>D9/C9</f>
        <v>6</v>
      </c>
      <c r="E45" s="949">
        <f>E9/D9</f>
        <v>2</v>
      </c>
      <c r="F45" s="947"/>
      <c r="G45" s="947"/>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7" customHeight="1" x14ac:dyDescent="0.25">
      <c r="A46" s="660"/>
      <c r="B46" s="660"/>
      <c r="C46" s="945">
        <v>2016</v>
      </c>
      <c r="D46" s="949">
        <f>D10/C10</f>
        <v>6</v>
      </c>
      <c r="E46" s="947"/>
      <c r="F46" s="947"/>
      <c r="G46" s="947"/>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7" customHeight="1" x14ac:dyDescent="0.25">
      <c r="A47" s="660"/>
      <c r="B47" s="660"/>
      <c r="C47" s="945">
        <v>2017</v>
      </c>
      <c r="D47" s="947"/>
      <c r="E47" s="947"/>
      <c r="F47" s="947"/>
      <c r="G47" s="947"/>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7" customHeight="1" x14ac:dyDescent="0.25">
      <c r="A48" s="660"/>
      <c r="B48" s="660"/>
      <c r="C48" s="660" t="s">
        <v>1158</v>
      </c>
      <c r="D48" s="944">
        <f>AVERAGE(D44:D46)</f>
        <v>6</v>
      </c>
      <c r="E48" s="944">
        <f>AVERAGE(E44:E46)</f>
        <v>2</v>
      </c>
      <c r="F48" s="944">
        <f>AVERAGE(F44:F46)</f>
        <v>1.1000000000000001</v>
      </c>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7" customHeight="1" x14ac:dyDescent="0.25">
      <c r="A49" s="660"/>
      <c r="B49" s="660"/>
      <c r="C49" s="660" t="s">
        <v>155</v>
      </c>
      <c r="D49" s="943">
        <f>E49*D48</f>
        <v>13.200000000000001</v>
      </c>
      <c r="E49" s="943">
        <f>F49*E48</f>
        <v>2.2000000000000002</v>
      </c>
      <c r="F49" s="943">
        <f>G49*F48</f>
        <v>1.1000000000000001</v>
      </c>
      <c r="G49" s="660">
        <v>1</v>
      </c>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7" customHeight="1" x14ac:dyDescent="0.25">
      <c r="A50" s="660"/>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7" customHeight="1" x14ac:dyDescent="0.25">
      <c r="A51" s="660"/>
      <c r="B51" s="660"/>
      <c r="C51" s="946" t="s">
        <v>117</v>
      </c>
      <c r="D51" s="660" t="s">
        <v>858</v>
      </c>
      <c r="E51" s="660"/>
      <c r="F51" s="660" t="s">
        <v>675</v>
      </c>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7" customHeight="1" x14ac:dyDescent="0.25">
      <c r="A52" s="660"/>
      <c r="B52" s="660"/>
      <c r="C52" s="946" t="s">
        <v>94</v>
      </c>
      <c r="D52" s="660" t="s">
        <v>1103</v>
      </c>
      <c r="E52" s="660" t="s">
        <v>155</v>
      </c>
      <c r="F52" s="660" t="s">
        <v>1103</v>
      </c>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7" customHeight="1" x14ac:dyDescent="0.25">
      <c r="A53" s="660"/>
      <c r="B53" s="660"/>
      <c r="C53" s="945">
        <v>2014</v>
      </c>
      <c r="D53" s="96">
        <f>F8*1000</f>
        <v>4224000</v>
      </c>
      <c r="E53" s="660">
        <f>G49</f>
        <v>1</v>
      </c>
      <c r="F53" s="96">
        <f>D53*E53</f>
        <v>4224000</v>
      </c>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7" customHeight="1" x14ac:dyDescent="0.25">
      <c r="A54" s="660"/>
      <c r="B54" s="660"/>
      <c r="C54" s="945">
        <v>2015</v>
      </c>
      <c r="D54" s="96">
        <f>E9*1000</f>
        <v>3360000</v>
      </c>
      <c r="E54" s="943">
        <f>F49</f>
        <v>1.1000000000000001</v>
      </c>
      <c r="F54" s="96">
        <f>D54*E54</f>
        <v>3696000.0000000005</v>
      </c>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7" customHeight="1" x14ac:dyDescent="0.25">
      <c r="A55" s="660"/>
      <c r="B55" s="660"/>
      <c r="C55" s="945">
        <v>2016</v>
      </c>
      <c r="D55" s="96">
        <f>D10*1000</f>
        <v>1980000</v>
      </c>
      <c r="E55" s="943">
        <f>E49</f>
        <v>2.2000000000000002</v>
      </c>
      <c r="F55" s="96">
        <f>D55*E55</f>
        <v>4356000</v>
      </c>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7" customHeight="1" x14ac:dyDescent="0.25">
      <c r="A56" s="660"/>
      <c r="B56" s="660"/>
      <c r="C56" s="945">
        <v>2017</v>
      </c>
      <c r="D56" s="96">
        <f>C11*1000</f>
        <v>340000</v>
      </c>
      <c r="E56" s="943">
        <f>D49</f>
        <v>13.200000000000001</v>
      </c>
      <c r="F56" s="96">
        <f>D56*E56</f>
        <v>4488000</v>
      </c>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7" customHeight="1" x14ac:dyDescent="0.25">
      <c r="A57" s="660"/>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7" customHeight="1" x14ac:dyDescent="0.25">
      <c r="A58" s="660"/>
      <c r="B58" s="660"/>
      <c r="C58" s="660"/>
      <c r="D58" s="660"/>
      <c r="E58" s="660"/>
      <c r="F58" s="660"/>
      <c r="G58" s="660"/>
      <c r="H58" s="660"/>
      <c r="I58" s="660" t="s">
        <v>1157</v>
      </c>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7" customHeight="1" x14ac:dyDescent="0.25">
      <c r="A59" s="660"/>
      <c r="B59" s="660" t="s">
        <v>1</v>
      </c>
      <c r="C59" s="946" t="s">
        <v>117</v>
      </c>
      <c r="D59" s="952" t="s">
        <v>1156</v>
      </c>
      <c r="E59" s="951"/>
      <c r="F59" s="951"/>
      <c r="G59" s="951"/>
      <c r="H59" s="660"/>
      <c r="I59" s="946" t="s">
        <v>117</v>
      </c>
      <c r="J59" s="952" t="s">
        <v>1155</v>
      </c>
      <c r="K59" s="951"/>
      <c r="L59" s="951"/>
      <c r="M59" s="951"/>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7" customHeight="1" x14ac:dyDescent="0.25">
      <c r="A60" s="660"/>
      <c r="B60" s="660"/>
      <c r="C60" s="946" t="s">
        <v>94</v>
      </c>
      <c r="D60" s="950">
        <v>12</v>
      </c>
      <c r="E60" s="950">
        <v>24</v>
      </c>
      <c r="F60" s="950">
        <v>36</v>
      </c>
      <c r="G60" s="950">
        <v>48</v>
      </c>
      <c r="H60" s="660"/>
      <c r="I60" s="946" t="s">
        <v>94</v>
      </c>
      <c r="J60" s="950">
        <v>12</v>
      </c>
      <c r="K60" s="950">
        <v>24</v>
      </c>
      <c r="L60" s="950">
        <v>36</v>
      </c>
      <c r="M60" s="950">
        <v>48</v>
      </c>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7" customHeight="1" x14ac:dyDescent="0.25">
      <c r="A61" s="660"/>
      <c r="B61" s="660"/>
      <c r="C61" s="945">
        <v>2014</v>
      </c>
      <c r="D61" s="949">
        <f>D15-C15</f>
        <v>0.04</v>
      </c>
      <c r="E61" s="949">
        <f>E15-D15</f>
        <v>2.0000000000000004E-2</v>
      </c>
      <c r="F61" s="949">
        <f>F15-E15</f>
        <v>0</v>
      </c>
      <c r="G61" s="948"/>
      <c r="H61" s="660"/>
      <c r="I61" s="945">
        <v>2014</v>
      </c>
      <c r="J61" s="949">
        <f>J8/I8</f>
        <v>3</v>
      </c>
      <c r="K61" s="949">
        <f>K8/J8</f>
        <v>1.6</v>
      </c>
      <c r="L61" s="949">
        <f>L8/K8</f>
        <v>1.1000000000000001</v>
      </c>
      <c r="M61" s="947"/>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7" customHeight="1" x14ac:dyDescent="0.25">
      <c r="A62" s="660"/>
      <c r="B62" s="660"/>
      <c r="C62" s="945">
        <v>2015</v>
      </c>
      <c r="D62" s="949">
        <f>D16-C16</f>
        <v>0.04</v>
      </c>
      <c r="E62" s="949">
        <f>E16-D16</f>
        <v>2.0000000000000004E-2</v>
      </c>
      <c r="F62" s="948"/>
      <c r="G62" s="948"/>
      <c r="H62" s="660"/>
      <c r="I62" s="945">
        <v>2015</v>
      </c>
      <c r="J62" s="949">
        <f>J9/I9</f>
        <v>3</v>
      </c>
      <c r="K62" s="949">
        <f>K9/J9</f>
        <v>1.6</v>
      </c>
      <c r="L62" s="947"/>
      <c r="M62" s="947"/>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7" customHeight="1" x14ac:dyDescent="0.25">
      <c r="A63" s="660"/>
      <c r="B63" s="660"/>
      <c r="C63" s="945">
        <v>2016</v>
      </c>
      <c r="D63" s="949">
        <f>D17-C17</f>
        <v>0.04</v>
      </c>
      <c r="E63" s="948"/>
      <c r="F63" s="948"/>
      <c r="G63" s="948"/>
      <c r="H63" s="660"/>
      <c r="I63" s="945">
        <v>2016</v>
      </c>
      <c r="J63" s="949">
        <f>J10/I10</f>
        <v>3</v>
      </c>
      <c r="K63" s="947"/>
      <c r="L63" s="947"/>
      <c r="M63" s="947"/>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7" customHeight="1" x14ac:dyDescent="0.25">
      <c r="A64" s="660"/>
      <c r="B64" s="660"/>
      <c r="C64" s="945">
        <v>2017</v>
      </c>
      <c r="D64" s="948"/>
      <c r="E64" s="948"/>
      <c r="F64" s="948"/>
      <c r="G64" s="948"/>
      <c r="H64" s="660"/>
      <c r="I64" s="945">
        <v>2017</v>
      </c>
      <c r="J64" s="947"/>
      <c r="K64" s="947"/>
      <c r="L64" s="947"/>
      <c r="M64" s="947"/>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7" customHeight="1" x14ac:dyDescent="0.25">
      <c r="A65" s="660"/>
      <c r="B65" s="660"/>
      <c r="C65" s="660" t="s">
        <v>1154</v>
      </c>
      <c r="D65" s="944">
        <f>AVERAGE(D61:D63)</f>
        <v>0.04</v>
      </c>
      <c r="E65" s="944">
        <f>AVERAGE(E61:E63)</f>
        <v>2.0000000000000004E-2</v>
      </c>
      <c r="F65" s="944">
        <f>AVERAGE(F61:F63)</f>
        <v>0</v>
      </c>
      <c r="G65" s="660"/>
      <c r="H65" s="660"/>
      <c r="I65" s="660" t="s">
        <v>1154</v>
      </c>
      <c r="J65" s="944">
        <f>AVERAGE(J61:J63)</f>
        <v>3</v>
      </c>
      <c r="K65" s="944">
        <f>AVERAGE(K61:K63)</f>
        <v>1.6</v>
      </c>
      <c r="L65" s="944">
        <f>AVERAGE(L61:L63)</f>
        <v>1.1000000000000001</v>
      </c>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7" customHeight="1" x14ac:dyDescent="0.25">
      <c r="A66" s="660"/>
      <c r="B66" s="660"/>
      <c r="C66" s="660" t="s">
        <v>155</v>
      </c>
      <c r="D66" s="944">
        <f>D65+E66</f>
        <v>6.0000000000000005E-2</v>
      </c>
      <c r="E66" s="944">
        <f>E65+F66</f>
        <v>2.0000000000000004E-2</v>
      </c>
      <c r="F66" s="944">
        <f>F65+G66</f>
        <v>0</v>
      </c>
      <c r="G66" s="660">
        <v>0</v>
      </c>
      <c r="H66" s="660"/>
      <c r="I66" s="660" t="s">
        <v>155</v>
      </c>
      <c r="J66" s="943">
        <f>J65*K66</f>
        <v>5.2800000000000011</v>
      </c>
      <c r="K66" s="943">
        <f>K65*L66</f>
        <v>1.7600000000000002</v>
      </c>
      <c r="L66" s="943">
        <f>L65*M66</f>
        <v>1.1000000000000001</v>
      </c>
      <c r="M66" s="660">
        <v>1</v>
      </c>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7" customHeight="1" x14ac:dyDescent="0.25">
      <c r="A67" s="660"/>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7" customHeight="1" x14ac:dyDescent="0.25">
      <c r="A68" s="660"/>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7" customHeight="1" x14ac:dyDescent="0.25">
      <c r="A69" s="660"/>
      <c r="B69" s="660"/>
      <c r="C69" s="946" t="s">
        <v>117</v>
      </c>
      <c r="D69" s="660" t="s">
        <v>858</v>
      </c>
      <c r="E69" s="660" t="s">
        <v>1153</v>
      </c>
      <c r="F69" s="660" t="s">
        <v>1152</v>
      </c>
      <c r="G69" s="660" t="s">
        <v>858</v>
      </c>
      <c r="H69" s="660" t="s">
        <v>675</v>
      </c>
      <c r="I69" s="660" t="s">
        <v>675</v>
      </c>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7" customHeight="1" x14ac:dyDescent="0.25">
      <c r="A70" s="660"/>
      <c r="B70" s="660"/>
      <c r="C70" s="946" t="s">
        <v>94</v>
      </c>
      <c r="D70" s="660" t="s">
        <v>572</v>
      </c>
      <c r="E70" s="660" t="s">
        <v>1151</v>
      </c>
      <c r="F70" s="660" t="s">
        <v>1150</v>
      </c>
      <c r="G70" s="660" t="s">
        <v>1149</v>
      </c>
      <c r="H70" s="660" t="s">
        <v>477</v>
      </c>
      <c r="I70" s="660" t="s">
        <v>1103</v>
      </c>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7" customHeight="1" x14ac:dyDescent="0.25">
      <c r="A71" s="660"/>
      <c r="B71" s="660"/>
      <c r="C71" s="945">
        <v>2014</v>
      </c>
      <c r="D71" s="96">
        <f>L8*1000</f>
        <v>42240000</v>
      </c>
      <c r="E71" s="940">
        <f>F15</f>
        <v>0.1</v>
      </c>
      <c r="F71" s="660">
        <f>G66</f>
        <v>0</v>
      </c>
      <c r="G71" s="660">
        <f>M66</f>
        <v>1</v>
      </c>
      <c r="H71" s="942">
        <f>D71*G71</f>
        <v>42240000</v>
      </c>
      <c r="I71" s="96">
        <f>H71*(E71+F71)</f>
        <v>4224000</v>
      </c>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7" customHeight="1" x14ac:dyDescent="0.25">
      <c r="A72" s="660"/>
      <c r="B72" s="660"/>
      <c r="C72" s="945">
        <v>2015</v>
      </c>
      <c r="D72" s="96">
        <f>K9*1000</f>
        <v>33600000</v>
      </c>
      <c r="E72" s="940">
        <f>E16</f>
        <v>0.1</v>
      </c>
      <c r="F72" s="944">
        <f>F66</f>
        <v>0</v>
      </c>
      <c r="G72" s="943">
        <f>L66</f>
        <v>1.1000000000000001</v>
      </c>
      <c r="H72" s="942">
        <f>D72*G72</f>
        <v>36960000</v>
      </c>
      <c r="I72" s="96">
        <f>H72*(E72+F72)</f>
        <v>3696000</v>
      </c>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7" customHeight="1" x14ac:dyDescent="0.25">
      <c r="A73" s="660"/>
      <c r="B73" s="660"/>
      <c r="C73" s="945">
        <v>2016</v>
      </c>
      <c r="D73" s="96">
        <f>J10*1000</f>
        <v>24750000</v>
      </c>
      <c r="E73" s="940">
        <f>D17</f>
        <v>0.08</v>
      </c>
      <c r="F73" s="944">
        <f>E66</f>
        <v>2.0000000000000004E-2</v>
      </c>
      <c r="G73" s="943">
        <f>K66</f>
        <v>1.7600000000000002</v>
      </c>
      <c r="H73" s="942">
        <f>D73*G73</f>
        <v>43560000.000000007</v>
      </c>
      <c r="I73" s="96">
        <f>H73*(E73+F73)</f>
        <v>4356000.0000000009</v>
      </c>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7" customHeight="1" x14ac:dyDescent="0.25">
      <c r="A74" s="660"/>
      <c r="B74" s="660"/>
      <c r="C74" s="945">
        <v>2017</v>
      </c>
      <c r="D74" s="96">
        <f>I11*1000</f>
        <v>4250000</v>
      </c>
      <c r="E74" s="940">
        <f>C18</f>
        <v>0.08</v>
      </c>
      <c r="F74" s="944">
        <f>D66</f>
        <v>6.0000000000000005E-2</v>
      </c>
      <c r="G74" s="943">
        <f>J66</f>
        <v>5.2800000000000011</v>
      </c>
      <c r="H74" s="942">
        <f>D74*G74</f>
        <v>22440000.000000004</v>
      </c>
      <c r="I74" s="96">
        <f>H74*(E74+F74)</f>
        <v>3141600.0000000009</v>
      </c>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7" customHeight="1" x14ac:dyDescent="0.25">
      <c r="A75" s="660"/>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7" customHeight="1" x14ac:dyDescent="0.25">
      <c r="A76" s="660"/>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7" customHeight="1" x14ac:dyDescent="0.25">
      <c r="A77" s="660"/>
      <c r="B77" s="660" t="s">
        <v>2</v>
      </c>
      <c r="C77" s="660" t="s">
        <v>1148</v>
      </c>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7" customHeight="1" x14ac:dyDescent="0.25">
      <c r="A78" s="660"/>
      <c r="B78" s="660"/>
      <c r="C78" s="660" t="s">
        <v>1147</v>
      </c>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7" customHeight="1" x14ac:dyDescent="0.25">
      <c r="A79" s="660"/>
      <c r="B79" s="660"/>
      <c r="C79" s="660" t="s">
        <v>1146</v>
      </c>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7" customHeight="1" x14ac:dyDescent="0.25">
      <c r="A80" s="660"/>
      <c r="B80" s="660"/>
      <c r="C80" s="660" t="s">
        <v>1145</v>
      </c>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7" customHeight="1" x14ac:dyDescent="0.25">
      <c r="A81" s="660"/>
      <c r="B81" s="660"/>
      <c r="C81" s="660" t="s">
        <v>1144</v>
      </c>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7" customHeight="1" x14ac:dyDescent="0.25">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7" customHeight="1" x14ac:dyDescent="0.25">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7" customHeight="1" x14ac:dyDescent="0.25">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7" customHeight="1" x14ac:dyDescent="0.25">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7" customHeight="1" x14ac:dyDescent="0.25">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7" customHeight="1" x14ac:dyDescent="0.25">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7" customHeight="1" x14ac:dyDescent="0.25">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7" customHeight="1" x14ac:dyDescent="0.25">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7" customHeight="1" x14ac:dyDescent="0.25">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7" customHeight="1" x14ac:dyDescent="0.25">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7" customHeight="1" x14ac:dyDescent="0.25">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7" customHeight="1" x14ac:dyDescent="0.25">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7" customHeight="1" x14ac:dyDescent="0.25">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7" customHeight="1" x14ac:dyDescent="0.25">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7" customHeight="1" x14ac:dyDescent="0.25">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7" customHeight="1" x14ac:dyDescent="0.25">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7" customHeight="1" x14ac:dyDescent="0.25">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7" customHeight="1" x14ac:dyDescent="0.25">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7" customHeight="1" x14ac:dyDescent="0.25">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7" customHeight="1" x14ac:dyDescent="0.25">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7" customHeight="1" x14ac:dyDescent="0.25">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7" customHeight="1" x14ac:dyDescent="0.25">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7" customHeight="1" x14ac:dyDescent="0.25">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7" customHeight="1" x14ac:dyDescent="0.25">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7" customHeight="1" x14ac:dyDescent="0.25">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7" customHeight="1" x14ac:dyDescent="0.25">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7" customHeight="1" x14ac:dyDescent="0.25">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7" customHeight="1" x14ac:dyDescent="0.25">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7" customHeight="1" x14ac:dyDescent="0.25">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7" customHeight="1" x14ac:dyDescent="0.25">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7" customHeight="1" x14ac:dyDescent="0.25">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7" customHeight="1" x14ac:dyDescent="0.25">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7" customHeight="1" x14ac:dyDescent="0.25">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7" customHeight="1" x14ac:dyDescent="0.25">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7" customHeight="1" x14ac:dyDescent="0.25">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7" customHeight="1" x14ac:dyDescent="0.25">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7" customHeight="1" x14ac:dyDescent="0.25">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7" customHeight="1" x14ac:dyDescent="0.25">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7" customHeight="1" x14ac:dyDescent="0.25">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7" customHeight="1" x14ac:dyDescent="0.25">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7" customHeight="1" x14ac:dyDescent="0.25">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7" customHeight="1" x14ac:dyDescent="0.25">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7" customHeight="1" x14ac:dyDescent="0.25">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7" customHeight="1" x14ac:dyDescent="0.25">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7" customHeight="1" x14ac:dyDescent="0.25">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7" customHeight="1" x14ac:dyDescent="0.25">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7" customHeight="1" x14ac:dyDescent="0.25">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7" customHeight="1" x14ac:dyDescent="0.25">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7" customHeight="1" x14ac:dyDescent="0.25">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7" customHeight="1" x14ac:dyDescent="0.25">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7" customHeight="1" x14ac:dyDescent="0.25">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7" customHeight="1" x14ac:dyDescent="0.25">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7" customHeight="1" x14ac:dyDescent="0.25">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7" customHeight="1" x14ac:dyDescent="0.25">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7" customHeight="1" x14ac:dyDescent="0.25">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7" customHeight="1" x14ac:dyDescent="0.25">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7" customHeight="1" x14ac:dyDescent="0.25">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7" customHeight="1" x14ac:dyDescent="0.25">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7" customHeight="1" x14ac:dyDescent="0.25">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7" customHeight="1" x14ac:dyDescent="0.25">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7" customHeight="1" x14ac:dyDescent="0.25">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7" customHeight="1" x14ac:dyDescent="0.25">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7" customHeight="1" x14ac:dyDescent="0.25">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7" customHeight="1" x14ac:dyDescent="0.25">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7" customHeight="1" x14ac:dyDescent="0.25">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7" customHeight="1" x14ac:dyDescent="0.25">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7" customHeight="1" x14ac:dyDescent="0.25">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7" customHeight="1" x14ac:dyDescent="0.25">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7" customHeight="1" x14ac:dyDescent="0.25">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7" customHeight="1" x14ac:dyDescent="0.25">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7" customHeight="1" x14ac:dyDescent="0.25">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7" customHeight="1" x14ac:dyDescent="0.25">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7" customHeight="1" x14ac:dyDescent="0.25">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7" customHeight="1" x14ac:dyDescent="0.25">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7" customHeight="1" x14ac:dyDescent="0.25">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7" customHeight="1" x14ac:dyDescent="0.25">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7" customHeight="1" x14ac:dyDescent="0.25">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7" customHeight="1" x14ac:dyDescent="0.25">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7" customHeight="1" x14ac:dyDescent="0.25">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7" customHeight="1" x14ac:dyDescent="0.25">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7" customHeight="1" x14ac:dyDescent="0.25">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7" customHeight="1" x14ac:dyDescent="0.25">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7" customHeight="1" x14ac:dyDescent="0.25">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7" customHeight="1" x14ac:dyDescent="0.25">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7" customHeight="1" x14ac:dyDescent="0.25">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7" customHeight="1" x14ac:dyDescent="0.25">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7" customHeight="1" x14ac:dyDescent="0.25">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7" customHeight="1" x14ac:dyDescent="0.25">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7" customHeight="1" x14ac:dyDescent="0.25">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7" customHeight="1" x14ac:dyDescent="0.25">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7" customHeight="1" x14ac:dyDescent="0.25">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7" customHeight="1" x14ac:dyDescent="0.25">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7" customHeight="1" x14ac:dyDescent="0.25">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7" customHeight="1" x14ac:dyDescent="0.25">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7" customHeight="1" x14ac:dyDescent="0.25">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7" customHeight="1" x14ac:dyDescent="0.25">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7" customHeight="1" x14ac:dyDescent="0.25">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7" customHeight="1" x14ac:dyDescent="0.25">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7" customHeight="1" x14ac:dyDescent="0.25">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7" customHeight="1" x14ac:dyDescent="0.25">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7" customHeight="1" x14ac:dyDescent="0.25">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7" customHeight="1" x14ac:dyDescent="0.25">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7" customHeight="1" x14ac:dyDescent="0.25">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7" customHeight="1" x14ac:dyDescent="0.25">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7" customHeight="1" x14ac:dyDescent="0.25">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7" customHeight="1" x14ac:dyDescent="0.25">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7" customHeight="1" x14ac:dyDescent="0.25">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7" customHeight="1" x14ac:dyDescent="0.25">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7" customHeight="1" x14ac:dyDescent="0.25">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7" customHeight="1" x14ac:dyDescent="0.25">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7" customHeight="1" x14ac:dyDescent="0.25">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7" customHeight="1" x14ac:dyDescent="0.25">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7" customHeight="1" x14ac:dyDescent="0.25">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7" customHeight="1" x14ac:dyDescent="0.25">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14" priority="1" operator="equal">
      <formula>"Review Later"</formula>
    </cfRule>
    <cfRule type="cellIs" dxfId="13" priority="2" operator="equal">
      <formula>"Finished"</formula>
    </cfRule>
    <cfRule type="cellIs" dxfId="12" priority="3" operator="equal">
      <formula>"Incomplete"</formula>
    </cfRule>
  </conditionalFormatting>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x14ac:dyDescent="0.25"/>
  <cols>
    <col min="1" max="1" width="11.6640625" style="656" customWidth="1"/>
    <col min="2" max="2" width="14.44140625" style="656" customWidth="1"/>
    <col min="3" max="3" width="17.6640625" style="656" customWidth="1"/>
    <col min="4" max="4" width="13.6640625" style="656" customWidth="1"/>
    <col min="5" max="5" width="13.77734375" style="656" customWidth="1"/>
    <col min="6" max="12" width="12.33203125" style="656" customWidth="1"/>
    <col min="13" max="52" width="9.109375" style="656" customWidth="1"/>
    <col min="53" max="55" width="0" style="656" hidden="1" customWidth="1"/>
    <col min="56" max="16384" width="9.109375" style="656" hidden="1"/>
  </cols>
  <sheetData>
    <row r="1" spans="1:52" ht="14.55" customHeight="1" thickBot="1" x14ac:dyDescent="0.3">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55" customHeight="1" x14ac:dyDescent="0.25">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55" customHeight="1" x14ac:dyDescent="0.25">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55" customHeight="1" x14ac:dyDescent="0.25">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55" customHeight="1" thickBot="1" x14ac:dyDescent="0.3">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55" customHeight="1" x14ac:dyDescent="0.25">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55" customHeight="1" thickBot="1" x14ac:dyDescent="0.3">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55" customHeight="1" x14ac:dyDescent="0.25">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55" customHeight="1" x14ac:dyDescent="0.25">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55" customHeight="1" x14ac:dyDescent="0.25">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55" customHeight="1" thickBot="1" x14ac:dyDescent="0.3">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55" customHeight="1" thickBot="1" x14ac:dyDescent="0.3">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55" customHeight="1" x14ac:dyDescent="0.25">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55" customHeight="1" thickBot="1" x14ac:dyDescent="0.3">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55" customHeight="1" x14ac:dyDescent="0.25">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55" customHeight="1" x14ac:dyDescent="0.25">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55" customHeight="1" x14ac:dyDescent="0.25">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55" customHeight="1" thickBot="1" x14ac:dyDescent="0.3">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55" customHeight="1" thickBot="1" x14ac:dyDescent="0.3">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55" customHeight="1" x14ac:dyDescent="0.25">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55" customHeight="1" x14ac:dyDescent="0.25">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55" customHeight="1" x14ac:dyDescent="0.25">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55" customHeight="1" x14ac:dyDescent="0.25">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55" customHeight="1" thickBot="1" x14ac:dyDescent="0.3">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55" customHeight="1" x14ac:dyDescent="0.25">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55" customHeight="1" x14ac:dyDescent="0.25">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55" customHeight="1" x14ac:dyDescent="0.25">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55" customHeight="1" thickBot="1" x14ac:dyDescent="0.3">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55" customHeight="1" x14ac:dyDescent="0.25">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55" customHeight="1" x14ac:dyDescent="0.25">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55" customHeight="1" x14ac:dyDescent="0.25">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55" customHeight="1" x14ac:dyDescent="0.25">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55" customHeight="1" x14ac:dyDescent="0.25">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55" customHeight="1" x14ac:dyDescent="0.25">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55" customHeight="1" x14ac:dyDescent="0.25">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55" customHeight="1" x14ac:dyDescent="0.25">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55" customHeight="1" x14ac:dyDescent="0.25">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55" customHeight="1" x14ac:dyDescent="0.25">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55" customHeight="1" x14ac:dyDescent="0.25">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55" customHeight="1" thickBot="1" x14ac:dyDescent="0.3">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55" customHeight="1" x14ac:dyDescent="0.25">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55" customHeight="1" x14ac:dyDescent="0.25">
      <c r="A42" s="660" t="s">
        <v>280</v>
      </c>
      <c r="B42" s="660" t="s">
        <v>1173</v>
      </c>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55" customHeight="1" x14ac:dyDescent="0.25">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55" customHeight="1" x14ac:dyDescent="0.25">
      <c r="A44" s="660"/>
      <c r="B44" s="660" t="s">
        <v>1172</v>
      </c>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55" customHeight="1" x14ac:dyDescent="0.25">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55" customHeight="1" x14ac:dyDescent="0.25">
      <c r="A46" s="660"/>
      <c r="B46" s="660">
        <f>D8/C8</f>
        <v>6</v>
      </c>
      <c r="C46" s="660">
        <f>E8/D8</f>
        <v>2</v>
      </c>
      <c r="D46" s="660">
        <f>F8/E8</f>
        <v>1.1000000000000001</v>
      </c>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55" customHeight="1" x14ac:dyDescent="0.25">
      <c r="A47" s="660"/>
      <c r="B47" s="660">
        <f>D9/C9</f>
        <v>6</v>
      </c>
      <c r="C47" s="660">
        <f>E9/D9</f>
        <v>2</v>
      </c>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55" customHeight="1" x14ac:dyDescent="0.25">
      <c r="A48" s="660"/>
      <c r="B48" s="660">
        <f>D10/C10</f>
        <v>6</v>
      </c>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55" customHeight="1" x14ac:dyDescent="0.25">
      <c r="A49" s="660"/>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55" customHeight="1" x14ac:dyDescent="0.25">
      <c r="A50" s="660" t="s">
        <v>216</v>
      </c>
      <c r="B50" s="660">
        <f>AVERAGE(B46:B48)</f>
        <v>6</v>
      </c>
      <c r="C50" s="660">
        <f>AVERAGE(C46:C48)</f>
        <v>2</v>
      </c>
      <c r="D50" s="660">
        <f>AVERAGE(D46:D48)</f>
        <v>1.1000000000000001</v>
      </c>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55" customHeight="1" x14ac:dyDescent="0.25">
      <c r="A51" s="660" t="s">
        <v>155</v>
      </c>
      <c r="B51" s="660">
        <f>PRODUCT(B50:$D50)</f>
        <v>13.200000000000001</v>
      </c>
      <c r="C51" s="660">
        <f>PRODUCT(C50:$D50)</f>
        <v>2.2000000000000002</v>
      </c>
      <c r="D51" s="660">
        <f>PRODUCT(D50:$D50)</f>
        <v>1.1000000000000001</v>
      </c>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55" customHeight="1" x14ac:dyDescent="0.25">
      <c r="A52" s="660"/>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55" customHeight="1" x14ac:dyDescent="0.25">
      <c r="A53" s="660"/>
      <c r="B53" s="953">
        <f>B51*C11</f>
        <v>4488</v>
      </c>
      <c r="C53" s="660" t="s">
        <v>1171</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55" customHeight="1" x14ac:dyDescent="0.25">
      <c r="A54" s="660"/>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55" customHeight="1" x14ac:dyDescent="0.25">
      <c r="A55" s="660" t="s">
        <v>298</v>
      </c>
      <c r="B55" s="660" t="s">
        <v>1170</v>
      </c>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55" customHeight="1" x14ac:dyDescent="0.25">
      <c r="A56" s="660"/>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55" customHeight="1" x14ac:dyDescent="0.25">
      <c r="A57" s="660"/>
      <c r="B57" s="940">
        <f>D15-C15</f>
        <v>0.04</v>
      </c>
      <c r="C57" s="940">
        <f>E15-D15</f>
        <v>2.0000000000000004E-2</v>
      </c>
      <c r="D57" s="940">
        <f>F15-E15</f>
        <v>0</v>
      </c>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55" customHeight="1" x14ac:dyDescent="0.25">
      <c r="A58" s="660"/>
      <c r="B58" s="940">
        <f>D16-C16</f>
        <v>0.04</v>
      </c>
      <c r="C58" s="940">
        <f>E16-D16</f>
        <v>2.0000000000000004E-2</v>
      </c>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55" customHeight="1" x14ac:dyDescent="0.25">
      <c r="A59" s="660"/>
      <c r="B59" s="940">
        <f>D17-C17</f>
        <v>0.04</v>
      </c>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55" customHeight="1" x14ac:dyDescent="0.25">
      <c r="A60" s="660"/>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55" customHeight="1" x14ac:dyDescent="0.25">
      <c r="A61" s="660" t="s">
        <v>216</v>
      </c>
      <c r="B61" s="940">
        <f>AVERAGE(B57:B59)</f>
        <v>0.04</v>
      </c>
      <c r="C61" s="940">
        <f>AVERAGE(C57:C59)</f>
        <v>2.0000000000000004E-2</v>
      </c>
      <c r="D61" s="940">
        <f>AVERAGE(D57:D59)</f>
        <v>0</v>
      </c>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55" customHeight="1" x14ac:dyDescent="0.25">
      <c r="A62" s="660" t="s">
        <v>155</v>
      </c>
      <c r="B62" s="940">
        <f>SUM(B61:$D61)</f>
        <v>6.0000000000000005E-2</v>
      </c>
      <c r="C62" s="940">
        <f>SUM(C61:$D61)</f>
        <v>2.0000000000000004E-2</v>
      </c>
      <c r="D62" s="940">
        <f>SUM(D61:$D61)</f>
        <v>0</v>
      </c>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55" customHeight="1" x14ac:dyDescent="0.25">
      <c r="A63" s="660"/>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55" customHeight="1" x14ac:dyDescent="0.25">
      <c r="A64" s="660"/>
      <c r="B64" s="660" t="s">
        <v>1169</v>
      </c>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55" customHeight="1" x14ac:dyDescent="0.25">
      <c r="A65" s="660"/>
      <c r="B65" s="660" t="s">
        <v>1168</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55" customHeight="1" x14ac:dyDescent="0.25">
      <c r="A66" s="660"/>
      <c r="B66" s="660" t="s">
        <v>1167</v>
      </c>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55" customHeight="1" x14ac:dyDescent="0.25">
      <c r="A67" s="660"/>
      <c r="B67" s="660" t="s">
        <v>1166</v>
      </c>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55" customHeight="1" x14ac:dyDescent="0.25">
      <c r="A68" s="660"/>
      <c r="B68" s="660" t="s">
        <v>1165</v>
      </c>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55" customHeight="1" x14ac:dyDescent="0.25">
      <c r="A69" s="660"/>
      <c r="B69" s="660" t="s">
        <v>1132</v>
      </c>
      <c r="C69" s="660" t="s">
        <v>1131</v>
      </c>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55" customHeight="1" x14ac:dyDescent="0.25">
      <c r="A70" s="660">
        <v>2014</v>
      </c>
      <c r="B70" s="940">
        <f>F15</f>
        <v>0.1</v>
      </c>
      <c r="C70" s="953">
        <f>B70*D25</f>
        <v>4224</v>
      </c>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55" customHeight="1" x14ac:dyDescent="0.25">
      <c r="A71" s="660">
        <v>2015</v>
      </c>
      <c r="B71" s="940">
        <f>E16+D62</f>
        <v>0.1</v>
      </c>
      <c r="C71" s="953">
        <f>B71*D26</f>
        <v>3696</v>
      </c>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55" customHeight="1" x14ac:dyDescent="0.25">
      <c r="A72" s="660">
        <v>2016</v>
      </c>
      <c r="B72" s="940">
        <f>D17+C62</f>
        <v>0.1</v>
      </c>
      <c r="C72" s="953">
        <f>B72*D27</f>
        <v>4356</v>
      </c>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55" customHeight="1" x14ac:dyDescent="0.25">
      <c r="A73" s="660">
        <v>2017</v>
      </c>
      <c r="B73" s="939">
        <f>(B62+C18)</f>
        <v>0.14000000000000001</v>
      </c>
      <c r="C73" s="953">
        <f>B73*C28</f>
        <v>4900.0000000000009</v>
      </c>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55" customHeight="1" x14ac:dyDescent="0.25">
      <c r="A74" s="660"/>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55" customHeight="1" x14ac:dyDescent="0.25">
      <c r="A75" s="660" t="s">
        <v>585</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55" customHeight="1" x14ac:dyDescent="0.25">
      <c r="A76" s="660"/>
      <c r="B76" s="660" t="s">
        <v>1164</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55" customHeight="1" x14ac:dyDescent="0.25">
      <c r="A77" s="660"/>
      <c r="B77" s="660" t="s">
        <v>1163</v>
      </c>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55" customHeight="1" x14ac:dyDescent="0.25">
      <c r="A78" s="660"/>
      <c r="B78" s="660" t="s">
        <v>1162</v>
      </c>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55" customHeight="1" x14ac:dyDescent="0.25">
      <c r="A79" s="660"/>
      <c r="B79" s="660" t="s">
        <v>1161</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55" customHeight="1" x14ac:dyDescent="0.25">
      <c r="A80" s="660"/>
      <c r="B80" s="660" t="s">
        <v>1160</v>
      </c>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55" customHeight="1" x14ac:dyDescent="0.25">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55" customHeight="1" x14ac:dyDescent="0.25">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55" customHeight="1" x14ac:dyDescent="0.25">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55" customHeight="1" x14ac:dyDescent="0.25">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55" customHeight="1" x14ac:dyDescent="0.25">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55" customHeight="1" x14ac:dyDescent="0.25">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55" customHeight="1" x14ac:dyDescent="0.25">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55" customHeight="1" x14ac:dyDescent="0.25">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55" customHeight="1" x14ac:dyDescent="0.25">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55" customHeight="1" x14ac:dyDescent="0.25">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55" customHeight="1" x14ac:dyDescent="0.25">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55" customHeight="1" x14ac:dyDescent="0.25">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55" customHeight="1" x14ac:dyDescent="0.25">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55" customHeight="1" x14ac:dyDescent="0.25">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55" customHeight="1" x14ac:dyDescent="0.25">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55" customHeight="1" x14ac:dyDescent="0.25">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55" customHeight="1" x14ac:dyDescent="0.25">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55" customHeight="1" x14ac:dyDescent="0.25">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55" customHeight="1" x14ac:dyDescent="0.25">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55" customHeight="1" x14ac:dyDescent="0.25">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55" customHeight="1" x14ac:dyDescent="0.25">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55" customHeight="1" x14ac:dyDescent="0.25">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55" customHeight="1" x14ac:dyDescent="0.25">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55" customHeight="1" x14ac:dyDescent="0.25">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55" customHeight="1" x14ac:dyDescent="0.25">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55" customHeight="1" x14ac:dyDescent="0.25">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55" customHeight="1" x14ac:dyDescent="0.25">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55" customHeight="1" x14ac:dyDescent="0.25">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55" customHeight="1" x14ac:dyDescent="0.25">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55" customHeight="1" x14ac:dyDescent="0.25">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55" customHeight="1" x14ac:dyDescent="0.25">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55" customHeight="1" x14ac:dyDescent="0.25">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55" customHeight="1" x14ac:dyDescent="0.25">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55" customHeight="1" x14ac:dyDescent="0.25">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55" customHeight="1" x14ac:dyDescent="0.25">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55" customHeight="1" x14ac:dyDescent="0.25">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55" customHeight="1" x14ac:dyDescent="0.25">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55" customHeight="1" x14ac:dyDescent="0.25">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55" customHeight="1" x14ac:dyDescent="0.25">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55" customHeight="1" x14ac:dyDescent="0.25">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55" customHeight="1" x14ac:dyDescent="0.25">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55" customHeight="1" x14ac:dyDescent="0.25">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55" customHeight="1" x14ac:dyDescent="0.25">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55" customHeight="1" x14ac:dyDescent="0.25">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55" customHeight="1" x14ac:dyDescent="0.25">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55" customHeight="1" x14ac:dyDescent="0.25">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55" customHeight="1" x14ac:dyDescent="0.25">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55" customHeight="1" x14ac:dyDescent="0.25">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55" customHeight="1" x14ac:dyDescent="0.25">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55" customHeight="1" x14ac:dyDescent="0.25">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55" customHeight="1" x14ac:dyDescent="0.25">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55" customHeight="1" x14ac:dyDescent="0.25">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55" customHeight="1" x14ac:dyDescent="0.25">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55" customHeight="1" x14ac:dyDescent="0.25">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55" customHeight="1" x14ac:dyDescent="0.25">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55" customHeight="1" x14ac:dyDescent="0.25">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55" customHeight="1" x14ac:dyDescent="0.25">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55" customHeight="1" x14ac:dyDescent="0.25">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55" customHeight="1" x14ac:dyDescent="0.25">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55" customHeight="1" x14ac:dyDescent="0.25">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55" customHeight="1" x14ac:dyDescent="0.25">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55" customHeight="1" x14ac:dyDescent="0.25">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55" customHeight="1" x14ac:dyDescent="0.25">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55" customHeight="1" x14ac:dyDescent="0.25">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55" customHeight="1" x14ac:dyDescent="0.25">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55" customHeight="1" x14ac:dyDescent="0.25">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55" customHeight="1" x14ac:dyDescent="0.25">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55" customHeight="1" x14ac:dyDescent="0.25">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55" customHeight="1" x14ac:dyDescent="0.25">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55" customHeight="1" x14ac:dyDescent="0.25">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55" customHeight="1" x14ac:dyDescent="0.25">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55" customHeight="1" x14ac:dyDescent="0.25">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55" customHeight="1" x14ac:dyDescent="0.25">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55" customHeight="1" x14ac:dyDescent="0.25">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55" customHeight="1" x14ac:dyDescent="0.25">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55" customHeight="1" x14ac:dyDescent="0.25">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55" customHeight="1" x14ac:dyDescent="0.25">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55" customHeight="1" x14ac:dyDescent="0.25">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55" customHeight="1" x14ac:dyDescent="0.25">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55" customHeight="1" x14ac:dyDescent="0.25">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55" customHeight="1" x14ac:dyDescent="0.25">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55" customHeight="1" x14ac:dyDescent="0.25">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55" customHeight="1" x14ac:dyDescent="0.25">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55" customHeight="1" x14ac:dyDescent="0.25">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55" customHeight="1" x14ac:dyDescent="0.25">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55" customHeight="1" x14ac:dyDescent="0.25">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55" customHeight="1" x14ac:dyDescent="0.25">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55" customHeight="1" x14ac:dyDescent="0.25">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55" customHeight="1" x14ac:dyDescent="0.25">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55" customHeight="1" x14ac:dyDescent="0.25">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55" customHeight="1" x14ac:dyDescent="0.25">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55" customHeight="1" x14ac:dyDescent="0.25">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55" customHeight="1" x14ac:dyDescent="0.25">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55" customHeight="1" x14ac:dyDescent="0.25">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55" customHeight="1" x14ac:dyDescent="0.25">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55" customHeight="1" x14ac:dyDescent="0.25">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55" customHeight="1" x14ac:dyDescent="0.25">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55" customHeight="1" x14ac:dyDescent="0.25">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55" customHeight="1" x14ac:dyDescent="0.25">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55" customHeight="1" x14ac:dyDescent="0.25">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55" customHeight="1" x14ac:dyDescent="0.25">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55" customHeight="1" x14ac:dyDescent="0.25">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55" customHeight="1" x14ac:dyDescent="0.25">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55" customHeight="1" x14ac:dyDescent="0.25">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55" customHeight="1" x14ac:dyDescent="0.25">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55" customHeight="1" x14ac:dyDescent="0.25">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55" customHeight="1" x14ac:dyDescent="0.25">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55" customHeight="1" x14ac:dyDescent="0.25">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55" customHeight="1" x14ac:dyDescent="0.25">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55" customHeight="1" x14ac:dyDescent="0.25">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55" customHeight="1" x14ac:dyDescent="0.25">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55" customHeight="1" x14ac:dyDescent="0.25">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55" customHeight="1" x14ac:dyDescent="0.25">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55" customHeight="1" x14ac:dyDescent="0.25">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55" customHeight="1" x14ac:dyDescent="0.25">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11" priority="1" operator="equal">
      <formula>"Review Later"</formula>
    </cfRule>
    <cfRule type="cellIs" dxfId="10" priority="2" operator="equal">
      <formula>"Finished"</formula>
    </cfRule>
    <cfRule type="cellIs" dxfId="9" priority="3" operator="equal">
      <formula>"Incomplete"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x14ac:dyDescent="0.25"/>
  <cols>
    <col min="1" max="1" width="11.6640625" style="794" customWidth="1"/>
    <col min="2" max="2" width="14.109375" style="794" customWidth="1"/>
    <col min="3" max="9" width="11.6640625" style="794" customWidth="1"/>
    <col min="10" max="52" width="8.6640625" style="794" customWidth="1"/>
    <col min="53" max="55" width="0" style="794" hidden="1" customWidth="1"/>
    <col min="56" max="16384" width="8.6640625" style="794" hidden="1"/>
  </cols>
  <sheetData>
    <row r="1" spans="1:52" ht="14.4" customHeight="1" thickBot="1" x14ac:dyDescent="0.3">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 customHeight="1" x14ac:dyDescent="0.25">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 customHeight="1" x14ac:dyDescent="0.25">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 customHeight="1" x14ac:dyDescent="0.25">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 customHeight="1" x14ac:dyDescent="0.25">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 customHeight="1" x14ac:dyDescent="0.25">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 customHeight="1" x14ac:dyDescent="0.25">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 customHeight="1" x14ac:dyDescent="0.25">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 customHeight="1" x14ac:dyDescent="0.25">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 customHeight="1" x14ac:dyDescent="0.25">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 customHeight="1" x14ac:dyDescent="0.25">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 customHeight="1" x14ac:dyDescent="0.25">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 customHeight="1" x14ac:dyDescent="0.25">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 customHeight="1" thickBot="1" x14ac:dyDescent="0.3">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 customHeight="1" x14ac:dyDescent="0.25">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 customHeight="1" x14ac:dyDescent="0.25">
      <c r="A16" s="795"/>
      <c r="B16" s="795"/>
      <c r="C16" s="795"/>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 customHeight="1" x14ac:dyDescent="0.25">
      <c r="A17" s="795"/>
      <c r="B17" s="795" t="s">
        <v>0</v>
      </c>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 customHeight="1" x14ac:dyDescent="0.25">
      <c r="A18" s="795"/>
      <c r="B18" s="795" t="s">
        <v>986</v>
      </c>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 customHeight="1" x14ac:dyDescent="0.25">
      <c r="A19" s="795"/>
      <c r="B19" s="795" t="s">
        <v>987</v>
      </c>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 customHeight="1" x14ac:dyDescent="0.25">
      <c r="A20" s="795"/>
      <c r="B20" s="795" t="s">
        <v>988</v>
      </c>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 customHeight="1" x14ac:dyDescent="0.25">
      <c r="A21" s="795"/>
      <c r="B21" s="795" t="s">
        <v>989</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 customHeight="1" x14ac:dyDescent="0.25">
      <c r="A22" s="795"/>
      <c r="B22" s="795"/>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 customHeight="1" x14ac:dyDescent="0.25">
      <c r="A23" s="795"/>
      <c r="B23" s="795" t="s">
        <v>1</v>
      </c>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 customHeight="1" x14ac:dyDescent="0.25">
      <c r="A24" s="795"/>
      <c r="B24" s="795" t="s">
        <v>990</v>
      </c>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 customHeight="1" x14ac:dyDescent="0.25">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 customHeight="1" x14ac:dyDescent="0.25">
      <c r="A26" s="795"/>
      <c r="B26" s="795"/>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 customHeight="1" x14ac:dyDescent="0.25">
      <c r="A27" s="795"/>
      <c r="B27" s="795"/>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 customHeight="1" x14ac:dyDescent="0.25">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 customHeight="1" x14ac:dyDescent="0.25">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 customHeight="1" x14ac:dyDescent="0.25">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 customHeight="1" x14ac:dyDescent="0.25">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 customHeight="1" x14ac:dyDescent="0.25">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 customHeight="1" x14ac:dyDescent="0.25">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 customHeight="1" x14ac:dyDescent="0.25">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 customHeight="1" x14ac:dyDescent="0.25">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 customHeight="1" x14ac:dyDescent="0.25">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 customHeight="1" x14ac:dyDescent="0.25">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 customHeight="1" x14ac:dyDescent="0.25">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 customHeight="1" x14ac:dyDescent="0.25">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 customHeight="1" x14ac:dyDescent="0.25">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 customHeight="1" x14ac:dyDescent="0.25">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 customHeight="1" x14ac:dyDescent="0.25">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 customHeight="1" x14ac:dyDescent="0.25">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 customHeight="1" x14ac:dyDescent="0.25">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 customHeight="1" x14ac:dyDescent="0.25">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 customHeight="1" x14ac:dyDescent="0.25">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 customHeight="1" x14ac:dyDescent="0.25">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 customHeight="1" x14ac:dyDescent="0.25">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 customHeight="1" x14ac:dyDescent="0.25">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 customHeight="1" x14ac:dyDescent="0.25">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 customHeight="1" x14ac:dyDescent="0.25">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 customHeight="1" x14ac:dyDescent="0.25">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 customHeight="1" x14ac:dyDescent="0.25">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 customHeight="1" x14ac:dyDescent="0.25">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 customHeight="1" x14ac:dyDescent="0.25">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 customHeight="1" x14ac:dyDescent="0.25">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 customHeight="1" x14ac:dyDescent="0.25">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 customHeight="1" x14ac:dyDescent="0.25">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 customHeight="1" x14ac:dyDescent="0.25">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 customHeight="1" x14ac:dyDescent="0.25">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 customHeight="1" x14ac:dyDescent="0.25">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 customHeight="1" x14ac:dyDescent="0.25">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 customHeight="1" x14ac:dyDescent="0.25">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 customHeight="1" x14ac:dyDescent="0.25">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 customHeight="1" x14ac:dyDescent="0.25">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 customHeight="1" x14ac:dyDescent="0.25">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 customHeight="1" x14ac:dyDescent="0.25">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 customHeight="1" x14ac:dyDescent="0.25">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 customHeight="1" x14ac:dyDescent="0.25">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 customHeight="1" x14ac:dyDescent="0.25">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 customHeight="1" x14ac:dyDescent="0.25">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 customHeight="1" x14ac:dyDescent="0.25">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 customHeight="1" x14ac:dyDescent="0.25">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 customHeight="1" x14ac:dyDescent="0.25">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 customHeight="1" x14ac:dyDescent="0.25">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 customHeight="1" x14ac:dyDescent="0.25">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 customHeight="1" x14ac:dyDescent="0.25">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 customHeight="1" x14ac:dyDescent="0.25">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 customHeight="1" x14ac:dyDescent="0.25">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 customHeight="1" x14ac:dyDescent="0.25">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 customHeight="1" x14ac:dyDescent="0.25">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 customHeight="1" x14ac:dyDescent="0.25">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 customHeight="1" x14ac:dyDescent="0.25">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 customHeight="1" x14ac:dyDescent="0.25">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 customHeight="1" x14ac:dyDescent="0.25">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 customHeight="1" x14ac:dyDescent="0.25">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 customHeight="1" x14ac:dyDescent="0.25">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 customHeight="1" x14ac:dyDescent="0.25">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 customHeight="1" x14ac:dyDescent="0.25">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 customHeight="1" x14ac:dyDescent="0.25">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 customHeight="1" x14ac:dyDescent="0.25">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 customHeight="1" x14ac:dyDescent="0.25">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 customHeight="1" x14ac:dyDescent="0.25">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 customHeight="1" x14ac:dyDescent="0.25">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 customHeight="1" x14ac:dyDescent="0.25">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 customHeight="1" x14ac:dyDescent="0.25">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 customHeight="1" x14ac:dyDescent="0.25">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 customHeight="1" x14ac:dyDescent="0.25">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 customHeight="1" x14ac:dyDescent="0.25">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 customHeight="1" x14ac:dyDescent="0.25">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 customHeight="1" x14ac:dyDescent="0.25">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 customHeight="1" x14ac:dyDescent="0.25">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 customHeight="1" x14ac:dyDescent="0.25">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 customHeight="1" x14ac:dyDescent="0.25">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 customHeight="1" x14ac:dyDescent="0.25">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 customHeight="1" x14ac:dyDescent="0.25">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 customHeight="1" x14ac:dyDescent="0.25">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 customHeight="1" x14ac:dyDescent="0.25">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 customHeight="1" x14ac:dyDescent="0.25">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 customHeight="1" x14ac:dyDescent="0.25">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 customHeight="1" x14ac:dyDescent="0.25">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 customHeight="1" x14ac:dyDescent="0.25">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 customHeight="1" x14ac:dyDescent="0.25">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 customHeight="1" x14ac:dyDescent="0.25">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 customHeight="1" x14ac:dyDescent="0.25">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 customHeight="1" x14ac:dyDescent="0.25">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 customHeight="1" x14ac:dyDescent="0.25">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 customHeight="1" x14ac:dyDescent="0.25">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 customHeight="1" x14ac:dyDescent="0.25">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 customHeight="1" x14ac:dyDescent="0.25">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 customHeight="1" x14ac:dyDescent="0.25">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 customHeight="1" x14ac:dyDescent="0.25">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 customHeight="1" x14ac:dyDescent="0.25">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 customHeight="1" x14ac:dyDescent="0.25">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 customHeight="1" x14ac:dyDescent="0.25">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 customHeight="1" x14ac:dyDescent="0.25">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 customHeight="1" x14ac:dyDescent="0.25">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 customHeight="1" x14ac:dyDescent="0.25">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 customHeight="1" x14ac:dyDescent="0.25">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 customHeight="1" x14ac:dyDescent="0.25">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 customHeight="1" x14ac:dyDescent="0.25">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 customHeight="1" x14ac:dyDescent="0.25">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 customHeight="1" x14ac:dyDescent="0.25">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 customHeight="1" x14ac:dyDescent="0.25">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 customHeight="1" x14ac:dyDescent="0.25">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 customHeight="1" x14ac:dyDescent="0.25">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 customHeight="1" x14ac:dyDescent="0.25">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 customHeight="1" x14ac:dyDescent="0.25">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 customHeight="1" x14ac:dyDescent="0.25">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 customHeight="1" x14ac:dyDescent="0.25">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 customHeight="1" x14ac:dyDescent="0.25">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 customHeight="1" x14ac:dyDescent="0.25">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 customHeight="1" x14ac:dyDescent="0.25">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 customHeight="1" x14ac:dyDescent="0.25">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 customHeight="1" x14ac:dyDescent="0.25">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 customHeight="1" x14ac:dyDescent="0.25">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 customHeight="1" x14ac:dyDescent="0.25">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 customHeight="1" x14ac:dyDescent="0.25">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 customHeight="1" x14ac:dyDescent="0.25">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 customHeight="1" x14ac:dyDescent="0.25">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 customHeight="1" x14ac:dyDescent="0.25">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 customHeight="1" x14ac:dyDescent="0.25">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 customHeight="1" x14ac:dyDescent="0.25">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 customHeight="1" x14ac:dyDescent="0.25">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 customHeight="1" x14ac:dyDescent="0.25">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 customHeight="1" x14ac:dyDescent="0.25">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 customHeight="1" x14ac:dyDescent="0.25">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 customHeight="1" x14ac:dyDescent="0.25">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 customHeight="1" x14ac:dyDescent="0.25">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 customHeight="1" x14ac:dyDescent="0.25">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 customHeight="1" x14ac:dyDescent="0.25">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 customHeight="1" x14ac:dyDescent="0.25">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 customHeight="1" x14ac:dyDescent="0.25">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 customHeight="1" x14ac:dyDescent="0.25">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 customHeight="1" x14ac:dyDescent="0.25">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 customHeight="1" x14ac:dyDescent="0.25">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 customHeight="1" x14ac:dyDescent="0.25">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 customHeight="1" x14ac:dyDescent="0.25">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 customHeight="1" x14ac:dyDescent="0.25">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 customHeight="1" x14ac:dyDescent="0.25">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 customHeight="1" x14ac:dyDescent="0.25">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 customHeight="1" x14ac:dyDescent="0.25">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 customHeight="1" x14ac:dyDescent="0.25">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 customHeight="1" x14ac:dyDescent="0.25">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 customHeight="1" x14ac:dyDescent="0.25">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 customHeight="1" x14ac:dyDescent="0.25">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 customHeight="1" x14ac:dyDescent="0.25">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 customHeight="1" x14ac:dyDescent="0.25">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 customHeight="1" x14ac:dyDescent="0.25">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 customHeight="1" x14ac:dyDescent="0.25">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 customHeight="1" x14ac:dyDescent="0.25">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 customHeight="1" x14ac:dyDescent="0.25">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 customHeight="1" x14ac:dyDescent="0.25">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 customHeight="1" x14ac:dyDescent="0.25">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 customHeight="1" x14ac:dyDescent="0.25">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 customHeight="1" x14ac:dyDescent="0.25">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 customHeight="1" x14ac:dyDescent="0.25">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 customHeight="1" x14ac:dyDescent="0.25">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 customHeight="1" x14ac:dyDescent="0.25">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 customHeight="1" x14ac:dyDescent="0.25">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 customHeight="1" x14ac:dyDescent="0.25">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 customHeight="1" x14ac:dyDescent="0.25">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 customHeight="1" x14ac:dyDescent="0.25">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 customHeight="1" x14ac:dyDescent="0.25">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 customHeight="1" x14ac:dyDescent="0.25">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225" priority="1" operator="equal">
      <formula>"Review Later"</formula>
    </cfRule>
    <cfRule type="cellIs" dxfId="224" priority="2" operator="equal">
      <formula>"Finished"</formula>
    </cfRule>
    <cfRule type="cellIs" dxfId="223" priority="3" operator="equal">
      <formula>"Incomplete"</formula>
    </cfRule>
  </conditionalFormatting>
  <pageMargins left="0.75" right="0.75" top="1" bottom="1" header="0.5" footer="0.5"/>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x14ac:dyDescent="0.25"/>
  <cols>
    <col min="1" max="1" width="11.6640625" style="656" customWidth="1"/>
    <col min="2" max="2" width="14.44140625" style="656" customWidth="1"/>
    <col min="3" max="3" width="17.6640625" style="656" customWidth="1"/>
    <col min="4" max="5" width="16.109375" style="656" customWidth="1"/>
    <col min="6" max="12" width="12.33203125" style="656" customWidth="1"/>
    <col min="13" max="52" width="9.109375" style="656" customWidth="1"/>
    <col min="53" max="55" width="0" style="656" hidden="1" customWidth="1"/>
    <col min="56" max="16384" width="9.109375" style="656" hidden="1"/>
  </cols>
  <sheetData>
    <row r="1" spans="1:52" ht="14.55" customHeight="1" thickBot="1" x14ac:dyDescent="0.3">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55" customHeight="1" x14ac:dyDescent="0.25">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55" customHeight="1" x14ac:dyDescent="0.25">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55" customHeight="1" x14ac:dyDescent="0.25">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55" customHeight="1" thickBot="1" x14ac:dyDescent="0.3">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55" customHeight="1" x14ac:dyDescent="0.25">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55" customHeight="1" thickBot="1" x14ac:dyDescent="0.3">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55" customHeight="1" x14ac:dyDescent="0.25">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55" customHeight="1" x14ac:dyDescent="0.25">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55" customHeight="1" x14ac:dyDescent="0.25">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55" customHeight="1" thickBot="1" x14ac:dyDescent="0.3">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55" customHeight="1" thickBot="1" x14ac:dyDescent="0.3">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55" customHeight="1" x14ac:dyDescent="0.25">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55" customHeight="1" thickBot="1" x14ac:dyDescent="0.3">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55" customHeight="1" x14ac:dyDescent="0.25">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55" customHeight="1" x14ac:dyDescent="0.25">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55" customHeight="1" x14ac:dyDescent="0.25">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55" customHeight="1" thickBot="1" x14ac:dyDescent="0.3">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55" customHeight="1" thickBot="1" x14ac:dyDescent="0.3">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55" customHeight="1" x14ac:dyDescent="0.25">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55" customHeight="1" x14ac:dyDescent="0.25">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55" customHeight="1" x14ac:dyDescent="0.25">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55" customHeight="1" x14ac:dyDescent="0.25">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55" customHeight="1" thickBot="1" x14ac:dyDescent="0.3">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55" customHeight="1" x14ac:dyDescent="0.25">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55" customHeight="1" x14ac:dyDescent="0.25">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55" customHeight="1" x14ac:dyDescent="0.25">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55" customHeight="1" thickBot="1" x14ac:dyDescent="0.3">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55" customHeight="1" x14ac:dyDescent="0.25">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55" customHeight="1" x14ac:dyDescent="0.25">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55" customHeight="1" x14ac:dyDescent="0.25">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55" customHeight="1" x14ac:dyDescent="0.25">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55" customHeight="1" x14ac:dyDescent="0.25">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55" customHeight="1" x14ac:dyDescent="0.25">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55" customHeight="1" x14ac:dyDescent="0.25">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55" customHeight="1" x14ac:dyDescent="0.25">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55" customHeight="1" x14ac:dyDescent="0.25">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55" customHeight="1" x14ac:dyDescent="0.25">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55" customHeight="1" x14ac:dyDescent="0.25">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55" customHeight="1" thickBot="1" x14ac:dyDescent="0.3">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55" customHeight="1" x14ac:dyDescent="0.25">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55" customHeight="1" x14ac:dyDescent="0.25">
      <c r="A42" s="660" t="s">
        <v>0</v>
      </c>
      <c r="B42" s="660"/>
      <c r="C42" s="660" t="s">
        <v>1194</v>
      </c>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55" customHeight="1" x14ac:dyDescent="0.25">
      <c r="A43" s="660"/>
      <c r="B43" s="660" t="s">
        <v>240</v>
      </c>
      <c r="C43" s="660" t="s">
        <v>1191</v>
      </c>
      <c r="D43" s="660" t="s">
        <v>1190</v>
      </c>
      <c r="E43" s="660" t="s">
        <v>1189</v>
      </c>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55" customHeight="1" x14ac:dyDescent="0.25">
      <c r="A44" s="660"/>
      <c r="B44" s="660">
        <v>2014</v>
      </c>
      <c r="C44" s="955">
        <f>D8/C8</f>
        <v>6</v>
      </c>
      <c r="D44" s="955">
        <f>E8/D8</f>
        <v>2</v>
      </c>
      <c r="E44" s="955">
        <f>F8/E8</f>
        <v>1.1000000000000001</v>
      </c>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55" customHeight="1" x14ac:dyDescent="0.25">
      <c r="A45" s="660"/>
      <c r="B45" s="660">
        <v>2015</v>
      </c>
      <c r="C45" s="955">
        <f>D9/C9</f>
        <v>6</v>
      </c>
      <c r="D45" s="955">
        <f>E9/D9</f>
        <v>2</v>
      </c>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55" customHeight="1" x14ac:dyDescent="0.25">
      <c r="A46" s="660"/>
      <c r="B46" s="660">
        <v>2016</v>
      </c>
      <c r="C46" s="955">
        <f>D10/C10</f>
        <v>6</v>
      </c>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55" customHeight="1" x14ac:dyDescent="0.25">
      <c r="A47" s="660"/>
      <c r="B47" s="660" t="s">
        <v>702</v>
      </c>
      <c r="C47" s="956">
        <f>AVERAGE(C44:C46)</f>
        <v>6</v>
      </c>
      <c r="D47" s="956">
        <f>AVERAGE(D44:D46)</f>
        <v>2</v>
      </c>
      <c r="E47" s="956">
        <f>AVERAGE(E44:E46)</f>
        <v>1.1000000000000001</v>
      </c>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55" customHeight="1" x14ac:dyDescent="0.25">
      <c r="A48" s="660"/>
      <c r="B48" s="660" t="s">
        <v>1188</v>
      </c>
      <c r="C48" s="955">
        <f>C47*D48</f>
        <v>13.200000000000001</v>
      </c>
      <c r="D48" s="955">
        <f>D47*E48</f>
        <v>2.2000000000000002</v>
      </c>
      <c r="E48" s="955">
        <f>E47</f>
        <v>1.1000000000000001</v>
      </c>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55" customHeight="1" x14ac:dyDescent="0.25">
      <c r="A49" s="660"/>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55" customHeight="1" x14ac:dyDescent="0.25">
      <c r="A50" s="660"/>
      <c r="B50" s="660" t="s">
        <v>240</v>
      </c>
      <c r="C50" s="660" t="s">
        <v>1178</v>
      </c>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55" customHeight="1" x14ac:dyDescent="0.25">
      <c r="A51" s="660"/>
      <c r="B51" s="660">
        <v>2014</v>
      </c>
      <c r="C51" s="96">
        <f>F8</f>
        <v>4224</v>
      </c>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55" customHeight="1" x14ac:dyDescent="0.25">
      <c r="A52" s="660"/>
      <c r="B52" s="660">
        <v>2015</v>
      </c>
      <c r="C52" s="96">
        <f>E9*E48</f>
        <v>3696.0000000000005</v>
      </c>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55" customHeight="1" x14ac:dyDescent="0.25">
      <c r="A53" s="660"/>
      <c r="B53" s="660">
        <v>2016</v>
      </c>
      <c r="C53" s="96">
        <f>D10*D48</f>
        <v>4356</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55" customHeight="1" x14ac:dyDescent="0.25">
      <c r="A54" s="660"/>
      <c r="B54" s="660">
        <v>2017</v>
      </c>
      <c r="C54" s="96">
        <f>C11*C48</f>
        <v>4488</v>
      </c>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55" customHeight="1" x14ac:dyDescent="0.25">
      <c r="A55" s="660"/>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55" customHeight="1" x14ac:dyDescent="0.25">
      <c r="A56" s="660" t="s">
        <v>1</v>
      </c>
      <c r="B56" s="660"/>
      <c r="C56" s="660" t="s">
        <v>1193</v>
      </c>
      <c r="D56" s="660"/>
      <c r="E56" s="660"/>
      <c r="F56" s="660"/>
      <c r="G56" s="660"/>
      <c r="H56" s="660" t="s">
        <v>1192</v>
      </c>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55" customHeight="1" x14ac:dyDescent="0.25">
      <c r="A57" s="660"/>
      <c r="B57" s="660" t="s">
        <v>240</v>
      </c>
      <c r="C57" s="660" t="s">
        <v>1191</v>
      </c>
      <c r="D57" s="660" t="s">
        <v>1190</v>
      </c>
      <c r="E57" s="660" t="s">
        <v>1189</v>
      </c>
      <c r="F57" s="660"/>
      <c r="G57" s="660" t="s">
        <v>240</v>
      </c>
      <c r="H57" s="660" t="s">
        <v>1191</v>
      </c>
      <c r="I57" s="660" t="s">
        <v>1190</v>
      </c>
      <c r="J57" s="660" t="s">
        <v>1189</v>
      </c>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55" customHeight="1" x14ac:dyDescent="0.25">
      <c r="A58" s="660"/>
      <c r="B58" s="660">
        <v>2014</v>
      </c>
      <c r="C58" s="940">
        <f>D15-C15</f>
        <v>0.04</v>
      </c>
      <c r="D58" s="940">
        <f>E15-D15</f>
        <v>2.0000000000000004E-2</v>
      </c>
      <c r="E58" s="940">
        <f>F15-E15</f>
        <v>0</v>
      </c>
      <c r="F58" s="660"/>
      <c r="G58" s="660">
        <v>2014</v>
      </c>
      <c r="H58" s="955">
        <f>J8/I8</f>
        <v>3</v>
      </c>
      <c r="I58" s="955">
        <f>K8/J8</f>
        <v>1.6</v>
      </c>
      <c r="J58" s="955">
        <f>L8/K8</f>
        <v>1.1000000000000001</v>
      </c>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29.25" customHeight="1" x14ac:dyDescent="0.25">
      <c r="A59" s="660"/>
      <c r="B59" s="660">
        <v>2015</v>
      </c>
      <c r="C59" s="940">
        <f>D16-C16</f>
        <v>0.04</v>
      </c>
      <c r="D59" s="940">
        <f>E16-D16</f>
        <v>2.0000000000000004E-2</v>
      </c>
      <c r="E59" s="660"/>
      <c r="F59" s="660"/>
      <c r="G59" s="660">
        <v>2015</v>
      </c>
      <c r="H59" s="955">
        <f>J9/I9</f>
        <v>3</v>
      </c>
      <c r="I59" s="955">
        <f>K9/J9</f>
        <v>1.6</v>
      </c>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55" customHeight="1" x14ac:dyDescent="0.25">
      <c r="A60" s="660"/>
      <c r="B60" s="660">
        <v>2016</v>
      </c>
      <c r="C60" s="940">
        <f>D17-C17</f>
        <v>0.04</v>
      </c>
      <c r="D60" s="660"/>
      <c r="E60" s="660"/>
      <c r="F60" s="660"/>
      <c r="G60" s="660">
        <v>2016</v>
      </c>
      <c r="H60" s="955">
        <f>J10/I10</f>
        <v>3</v>
      </c>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55" customHeight="1" x14ac:dyDescent="0.25">
      <c r="A61" s="660"/>
      <c r="B61" s="660" t="s">
        <v>702</v>
      </c>
      <c r="C61" s="940">
        <f>AVERAGE(C58:C60)</f>
        <v>0.04</v>
      </c>
      <c r="D61" s="940">
        <f>AVERAGE(D58:D60)</f>
        <v>2.0000000000000004E-2</v>
      </c>
      <c r="E61" s="940">
        <f>AVERAGE(E58:E60)</f>
        <v>0</v>
      </c>
      <c r="F61" s="660"/>
      <c r="G61" s="660" t="s">
        <v>702</v>
      </c>
      <c r="H61" s="956">
        <f>AVERAGE(H58:H60)</f>
        <v>3</v>
      </c>
      <c r="I61" s="956">
        <f>AVERAGE(I58:I60)</f>
        <v>1.6</v>
      </c>
      <c r="J61" s="956">
        <f>AVERAGE(J58:J60)</f>
        <v>1.1000000000000001</v>
      </c>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55" customHeight="1" x14ac:dyDescent="0.25">
      <c r="A62" s="660"/>
      <c r="B62" s="660" t="s">
        <v>1188</v>
      </c>
      <c r="C62" s="940">
        <f>C61+D62</f>
        <v>6.0000000000000005E-2</v>
      </c>
      <c r="D62" s="940">
        <f>D61+E62</f>
        <v>2.0000000000000004E-2</v>
      </c>
      <c r="E62" s="940">
        <f>E61</f>
        <v>0</v>
      </c>
      <c r="F62" s="660"/>
      <c r="G62" s="660" t="s">
        <v>1188</v>
      </c>
      <c r="H62" s="955">
        <f>H61*I62</f>
        <v>5.2800000000000011</v>
      </c>
      <c r="I62" s="955">
        <f>I61*J62</f>
        <v>1.7600000000000002</v>
      </c>
      <c r="J62" s="955">
        <f>J61</f>
        <v>1.1000000000000001</v>
      </c>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55" customHeight="1" x14ac:dyDescent="0.25">
      <c r="A63" s="660"/>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55" customHeight="1" x14ac:dyDescent="0.25">
      <c r="A64" s="660"/>
      <c r="B64" s="660" t="s">
        <v>240</v>
      </c>
      <c r="C64" s="660" t="s">
        <v>1187</v>
      </c>
      <c r="D64" s="954" t="s">
        <v>1186</v>
      </c>
      <c r="E64" s="954" t="s">
        <v>1185</v>
      </c>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55" customHeight="1" x14ac:dyDescent="0.25">
      <c r="A65" s="660"/>
      <c r="B65" s="660">
        <v>2014</v>
      </c>
      <c r="C65" s="940">
        <f>F15</f>
        <v>0.1</v>
      </c>
      <c r="D65" s="96">
        <f>L8</f>
        <v>42240</v>
      </c>
      <c r="E65" s="699">
        <f>C25</f>
        <v>42240</v>
      </c>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55" customHeight="1" x14ac:dyDescent="0.25">
      <c r="A66" s="660"/>
      <c r="B66" s="660">
        <v>2015</v>
      </c>
      <c r="C66" s="940">
        <f>E16+E62</f>
        <v>0.1</v>
      </c>
      <c r="D66" s="96">
        <f>K9*J62</f>
        <v>36960</v>
      </c>
      <c r="E66" s="699">
        <f>C26</f>
        <v>36960</v>
      </c>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55" customHeight="1" x14ac:dyDescent="0.25">
      <c r="A67" s="660"/>
      <c r="B67" s="660">
        <v>2016</v>
      </c>
      <c r="C67" s="940">
        <f>D17+D62</f>
        <v>0.1</v>
      </c>
      <c r="D67" s="96">
        <f>J10*I62</f>
        <v>43560.000000000007</v>
      </c>
      <c r="E67" s="699">
        <f>C27</f>
        <v>43560</v>
      </c>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55" customHeight="1" x14ac:dyDescent="0.25">
      <c r="A68" s="660"/>
      <c r="B68" s="660">
        <v>2017</v>
      </c>
      <c r="C68" s="940">
        <f>C18+C62</f>
        <v>0.14000000000000001</v>
      </c>
      <c r="D68" s="96">
        <f>I11*H62</f>
        <v>22440.000000000004</v>
      </c>
      <c r="E68" s="699">
        <f>C28</f>
        <v>35000</v>
      </c>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55" customHeight="1" x14ac:dyDescent="0.25">
      <c r="A69" s="660"/>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55" customHeight="1" x14ac:dyDescent="0.25">
      <c r="A70" s="660"/>
      <c r="B70" s="660" t="s">
        <v>1184</v>
      </c>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55" customHeight="1" x14ac:dyDescent="0.25">
      <c r="A71" s="660"/>
      <c r="B71" s="660" t="s">
        <v>1183</v>
      </c>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55" customHeight="1" x14ac:dyDescent="0.25">
      <c r="A72" s="660"/>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55" customHeight="1" x14ac:dyDescent="0.25">
      <c r="A73" s="660"/>
      <c r="B73" s="660" t="s">
        <v>1182</v>
      </c>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55" customHeight="1" x14ac:dyDescent="0.25">
      <c r="A74" s="660"/>
      <c r="B74" s="660" t="s">
        <v>1181</v>
      </c>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55" customHeight="1" x14ac:dyDescent="0.25">
      <c r="A75" s="660"/>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55" customHeight="1" x14ac:dyDescent="0.25">
      <c r="A76" s="660"/>
      <c r="B76" s="660" t="s">
        <v>240</v>
      </c>
      <c r="C76" s="660" t="s">
        <v>1180</v>
      </c>
      <c r="D76" s="660" t="s">
        <v>1179</v>
      </c>
      <c r="E76" s="660" t="s">
        <v>1178</v>
      </c>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55" customHeight="1" x14ac:dyDescent="0.25">
      <c r="A77" s="660"/>
      <c r="B77" s="660">
        <v>2014</v>
      </c>
      <c r="C77" s="701">
        <v>0.1</v>
      </c>
      <c r="D77" s="660">
        <v>42240</v>
      </c>
      <c r="E77" s="660">
        <f>D77*C77</f>
        <v>4224</v>
      </c>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55" customHeight="1" x14ac:dyDescent="0.25">
      <c r="A78" s="660"/>
      <c r="B78" s="660">
        <v>2015</v>
      </c>
      <c r="C78" s="701">
        <v>0.1</v>
      </c>
      <c r="D78" s="660">
        <v>36960</v>
      </c>
      <c r="E78" s="660">
        <f>D78*C78</f>
        <v>3696</v>
      </c>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55" customHeight="1" x14ac:dyDescent="0.25">
      <c r="A79" s="660"/>
      <c r="B79" s="660">
        <v>2016</v>
      </c>
      <c r="C79" s="701">
        <v>0.1</v>
      </c>
      <c r="D79" s="660">
        <v>43560</v>
      </c>
      <c r="E79" s="660">
        <f>D79*C79</f>
        <v>4356</v>
      </c>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55" customHeight="1" x14ac:dyDescent="0.25">
      <c r="A80" s="660"/>
      <c r="B80" s="660">
        <v>2017</v>
      </c>
      <c r="C80" s="701">
        <v>0.1</v>
      </c>
      <c r="D80" s="660">
        <v>35000</v>
      </c>
      <c r="E80" s="660">
        <f>D80*C80</f>
        <v>3500</v>
      </c>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55" customHeight="1" x14ac:dyDescent="0.25">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55" customHeight="1" x14ac:dyDescent="0.25">
      <c r="A82" s="660" t="s">
        <v>2</v>
      </c>
      <c r="B82" s="660" t="s">
        <v>1177</v>
      </c>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55" customHeight="1" x14ac:dyDescent="0.25">
      <c r="A83" s="660"/>
      <c r="B83" s="660" t="s">
        <v>1176</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55" customHeight="1" x14ac:dyDescent="0.25">
      <c r="A84" s="660"/>
      <c r="B84" s="660" t="s">
        <v>1175</v>
      </c>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55" customHeight="1" x14ac:dyDescent="0.25">
      <c r="A85" s="660"/>
      <c r="B85" s="660" t="s">
        <v>1174</v>
      </c>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55" customHeight="1" x14ac:dyDescent="0.25">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55" customHeight="1" x14ac:dyDescent="0.25">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55" customHeight="1" x14ac:dyDescent="0.25">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55" customHeight="1" x14ac:dyDescent="0.25">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55" customHeight="1" x14ac:dyDescent="0.25">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55" customHeight="1" x14ac:dyDescent="0.25">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55" customHeight="1" x14ac:dyDescent="0.25">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55" customHeight="1" x14ac:dyDescent="0.25">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55" customHeight="1" x14ac:dyDescent="0.25">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55" customHeight="1" x14ac:dyDescent="0.25">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55" customHeight="1" x14ac:dyDescent="0.25">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55" customHeight="1" x14ac:dyDescent="0.25">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55" customHeight="1" x14ac:dyDescent="0.25">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55" customHeight="1" x14ac:dyDescent="0.25">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55" customHeight="1" x14ac:dyDescent="0.25">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55" customHeight="1" x14ac:dyDescent="0.25">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55" customHeight="1" x14ac:dyDescent="0.25">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55" customHeight="1" x14ac:dyDescent="0.25">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55" customHeight="1" x14ac:dyDescent="0.25">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55" customHeight="1" x14ac:dyDescent="0.25">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55" customHeight="1" x14ac:dyDescent="0.25">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55" customHeight="1" x14ac:dyDescent="0.25">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55" customHeight="1" x14ac:dyDescent="0.25">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55" customHeight="1" x14ac:dyDescent="0.25">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55" customHeight="1" x14ac:dyDescent="0.25">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55" customHeight="1" x14ac:dyDescent="0.25">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55" customHeight="1" x14ac:dyDescent="0.25">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55" customHeight="1" x14ac:dyDescent="0.25">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55" customHeight="1" x14ac:dyDescent="0.25">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55" customHeight="1" x14ac:dyDescent="0.25">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55" customHeight="1" x14ac:dyDescent="0.25">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55" customHeight="1" x14ac:dyDescent="0.25">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55" customHeight="1" x14ac:dyDescent="0.25">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55" customHeight="1" x14ac:dyDescent="0.25">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55" customHeight="1" x14ac:dyDescent="0.25">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55" customHeight="1" x14ac:dyDescent="0.25">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55" customHeight="1" x14ac:dyDescent="0.25">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55" customHeight="1" x14ac:dyDescent="0.25">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55" customHeight="1" x14ac:dyDescent="0.25">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55" customHeight="1" x14ac:dyDescent="0.25">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55" customHeight="1" x14ac:dyDescent="0.25">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55" customHeight="1" x14ac:dyDescent="0.25">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55" customHeight="1" x14ac:dyDescent="0.25">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55" customHeight="1" x14ac:dyDescent="0.25">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55" customHeight="1" x14ac:dyDescent="0.25">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55" customHeight="1" x14ac:dyDescent="0.25">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55" customHeight="1" x14ac:dyDescent="0.25">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55" customHeight="1" x14ac:dyDescent="0.25">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55" customHeight="1" x14ac:dyDescent="0.25">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55" customHeight="1" x14ac:dyDescent="0.25">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55" customHeight="1" x14ac:dyDescent="0.25">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55" customHeight="1" x14ac:dyDescent="0.25">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55" customHeight="1" x14ac:dyDescent="0.25">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55" customHeight="1" x14ac:dyDescent="0.25">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55" customHeight="1" x14ac:dyDescent="0.25">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55" customHeight="1" x14ac:dyDescent="0.25">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55" customHeight="1" x14ac:dyDescent="0.25">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55" customHeight="1" x14ac:dyDescent="0.25">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55" customHeight="1" x14ac:dyDescent="0.25">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55" customHeight="1" x14ac:dyDescent="0.25">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55" customHeight="1" x14ac:dyDescent="0.25">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55" customHeight="1" x14ac:dyDescent="0.25">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55" customHeight="1" x14ac:dyDescent="0.25">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55" customHeight="1" x14ac:dyDescent="0.25">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55" customHeight="1" x14ac:dyDescent="0.25">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55" customHeight="1" x14ac:dyDescent="0.25">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55" customHeight="1" x14ac:dyDescent="0.25">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55" customHeight="1" x14ac:dyDescent="0.25">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55" customHeight="1" x14ac:dyDescent="0.25">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55" customHeight="1" x14ac:dyDescent="0.25">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55" customHeight="1" x14ac:dyDescent="0.25">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55" customHeight="1" x14ac:dyDescent="0.25">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55" customHeight="1" x14ac:dyDescent="0.25">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55" customHeight="1" x14ac:dyDescent="0.25">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55" customHeight="1" x14ac:dyDescent="0.25">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55" customHeight="1" x14ac:dyDescent="0.25">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55" customHeight="1" x14ac:dyDescent="0.25">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55" customHeight="1" x14ac:dyDescent="0.25">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55" customHeight="1" x14ac:dyDescent="0.25">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55" customHeight="1" x14ac:dyDescent="0.25">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55" customHeight="1" x14ac:dyDescent="0.25">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55" customHeight="1" x14ac:dyDescent="0.25">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55" customHeight="1" x14ac:dyDescent="0.25">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55" customHeight="1" x14ac:dyDescent="0.25">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55" customHeight="1" x14ac:dyDescent="0.25">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55" customHeight="1" x14ac:dyDescent="0.25">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55" customHeight="1" x14ac:dyDescent="0.25">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55" customHeight="1" x14ac:dyDescent="0.25">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55" customHeight="1" x14ac:dyDescent="0.25">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55" customHeight="1" x14ac:dyDescent="0.25">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55" customHeight="1" x14ac:dyDescent="0.25">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55" customHeight="1" x14ac:dyDescent="0.25">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55" customHeight="1" x14ac:dyDescent="0.25">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55" customHeight="1" x14ac:dyDescent="0.25">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55" customHeight="1" x14ac:dyDescent="0.25">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55" customHeight="1" x14ac:dyDescent="0.25">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55" customHeight="1" x14ac:dyDescent="0.25">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55" customHeight="1" x14ac:dyDescent="0.25">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55" customHeight="1" x14ac:dyDescent="0.25">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55" customHeight="1" x14ac:dyDescent="0.25">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55" customHeight="1" x14ac:dyDescent="0.25">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55" customHeight="1" x14ac:dyDescent="0.25">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55" customHeight="1" x14ac:dyDescent="0.25">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55" customHeight="1" x14ac:dyDescent="0.25">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55" customHeight="1" x14ac:dyDescent="0.25">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55" customHeight="1" x14ac:dyDescent="0.25">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55" customHeight="1" x14ac:dyDescent="0.25">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55" customHeight="1" x14ac:dyDescent="0.25">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55" customHeight="1" x14ac:dyDescent="0.25">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55" customHeight="1" x14ac:dyDescent="0.25">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conditionalFormatting sqref="B1">
    <cfRule type="cellIs" dxfId="8" priority="1" operator="equal">
      <formula>"Review Later"</formula>
    </cfRule>
    <cfRule type="cellIs" dxfId="7" priority="2" operator="equal">
      <formula>"Finished"</formula>
    </cfRule>
    <cfRule type="cellIs" dxfId="6" priority="3" operator="equal">
      <formula>"Incomplete"</formula>
    </cfRule>
  </conditionalFormatting>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C205"/>
  <sheetViews>
    <sheetView zoomScaleNormal="100" workbookViewId="0"/>
  </sheetViews>
  <sheetFormatPr defaultColWidth="0" defaultRowHeight="0" customHeight="1" zeroHeight="1" x14ac:dyDescent="0.25"/>
  <cols>
    <col min="1" max="1" width="11.6640625" style="765" customWidth="1"/>
    <col min="2" max="2" width="36" style="765" customWidth="1"/>
    <col min="3" max="3" width="27.33203125" style="765" customWidth="1"/>
    <col min="4" max="5" width="15.109375" style="765" customWidth="1"/>
    <col min="6" max="52" width="8.6640625" style="765" customWidth="1"/>
    <col min="53" max="55" width="0" style="765" hidden="1" customWidth="1"/>
    <col min="56" max="16384" width="8.6640625" style="765" hidden="1"/>
  </cols>
  <sheetData>
    <row r="1" spans="1:52" ht="14.4" customHeight="1" thickBot="1" x14ac:dyDescent="0.3">
      <c r="A1" s="3">
        <v>26</v>
      </c>
      <c r="B1" s="4"/>
      <c r="C1" s="658"/>
      <c r="D1" s="658"/>
      <c r="E1" s="659"/>
      <c r="F1" s="766"/>
      <c r="G1" s="766"/>
      <c r="H1" s="766"/>
      <c r="I1" s="766"/>
      <c r="J1" s="766"/>
      <c r="K1" s="766"/>
      <c r="L1" s="766"/>
      <c r="M1" s="766"/>
      <c r="N1" s="766"/>
      <c r="O1" s="766"/>
      <c r="P1" s="766"/>
      <c r="Q1" s="766"/>
      <c r="R1" s="766"/>
      <c r="S1" s="766"/>
      <c r="T1" s="766"/>
      <c r="U1" s="766"/>
      <c r="V1" s="766"/>
      <c r="W1" s="766"/>
    </row>
    <row r="2" spans="1:52" ht="14.4" customHeight="1" x14ac:dyDescent="0.25">
      <c r="A2" s="767" t="s">
        <v>4</v>
      </c>
      <c r="B2" s="768"/>
      <c r="C2" s="662"/>
      <c r="D2" s="662"/>
      <c r="E2" s="663"/>
      <c r="F2" s="766"/>
      <c r="G2" s="766"/>
      <c r="H2" s="766"/>
      <c r="I2" s="766"/>
      <c r="J2" s="766"/>
      <c r="K2" s="766"/>
      <c r="L2" s="766"/>
      <c r="M2" s="766"/>
      <c r="N2" s="766"/>
      <c r="O2" s="766"/>
      <c r="P2" s="766"/>
      <c r="Q2" s="766"/>
      <c r="R2" s="766"/>
      <c r="S2" s="766"/>
      <c r="T2" s="766"/>
      <c r="U2" s="766"/>
      <c r="V2" s="766"/>
      <c r="W2" s="766"/>
    </row>
    <row r="3" spans="1:52" ht="14.4" customHeight="1" x14ac:dyDescent="0.25">
      <c r="A3" s="769">
        <v>2</v>
      </c>
      <c r="B3" s="665"/>
      <c r="C3" s="662"/>
      <c r="D3" s="662"/>
      <c r="E3" s="663"/>
      <c r="F3" s="766"/>
      <c r="G3" s="766"/>
      <c r="H3" s="766"/>
      <c r="I3" s="766"/>
      <c r="J3" s="766"/>
      <c r="K3" s="766"/>
      <c r="L3" s="766"/>
      <c r="M3" s="766"/>
      <c r="N3" s="766"/>
      <c r="O3" s="766"/>
      <c r="P3" s="766"/>
      <c r="Q3" s="766"/>
      <c r="R3" s="766"/>
      <c r="S3" s="766"/>
      <c r="T3" s="766"/>
      <c r="U3" s="766"/>
      <c r="V3" s="766"/>
      <c r="W3" s="766"/>
    </row>
    <row r="4" spans="1:52" ht="14.4" customHeight="1" x14ac:dyDescent="0.25">
      <c r="A4" s="770"/>
      <c r="B4" s="662" t="s">
        <v>928</v>
      </c>
      <c r="C4" s="662"/>
      <c r="D4" s="662"/>
      <c r="E4" s="663"/>
      <c r="F4" s="766"/>
      <c r="G4" s="766"/>
      <c r="H4" s="766"/>
      <c r="I4" s="766"/>
      <c r="J4" s="766"/>
      <c r="K4" s="766"/>
      <c r="L4" s="766"/>
      <c r="M4" s="766"/>
      <c r="N4" s="766"/>
      <c r="O4" s="766"/>
      <c r="P4" s="766"/>
      <c r="Q4" s="766"/>
      <c r="R4" s="766"/>
      <c r="S4" s="766"/>
      <c r="T4" s="766"/>
      <c r="U4" s="766"/>
      <c r="V4" s="766"/>
      <c r="W4" s="766"/>
    </row>
    <row r="5" spans="1:52" ht="14.4" customHeight="1" x14ac:dyDescent="0.25">
      <c r="A5" s="770"/>
      <c r="B5" s="662" t="s">
        <v>929</v>
      </c>
      <c r="C5" s="662"/>
      <c r="D5" s="662"/>
      <c r="E5" s="663"/>
      <c r="F5" s="766"/>
      <c r="G5" s="766"/>
      <c r="H5" s="766"/>
      <c r="I5" s="766"/>
      <c r="J5" s="766"/>
      <c r="K5" s="766"/>
      <c r="L5" s="766"/>
      <c r="M5" s="766"/>
      <c r="N5" s="766"/>
      <c r="O5" s="766"/>
      <c r="P5" s="766"/>
      <c r="Q5" s="766"/>
      <c r="R5" s="766"/>
      <c r="S5" s="766"/>
      <c r="T5" s="766"/>
      <c r="U5" s="766"/>
      <c r="V5" s="766"/>
      <c r="W5" s="766"/>
    </row>
    <row r="6" spans="1:52" ht="14.4" customHeight="1" thickBot="1" x14ac:dyDescent="0.3">
      <c r="A6" s="770"/>
      <c r="B6" s="771"/>
      <c r="C6" s="662"/>
      <c r="D6" s="662"/>
      <c r="E6" s="663"/>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4" customHeight="1" thickBot="1" x14ac:dyDescent="0.3">
      <c r="A7" s="770"/>
      <c r="B7" s="772" t="s">
        <v>930</v>
      </c>
      <c r="C7" s="773" t="s">
        <v>931</v>
      </c>
      <c r="D7" s="662"/>
      <c r="E7" s="774"/>
      <c r="F7" s="766"/>
      <c r="G7" s="766"/>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4" customHeight="1" x14ac:dyDescent="0.25">
      <c r="A8" s="770"/>
      <c r="B8" s="775" t="s">
        <v>932</v>
      </c>
      <c r="C8" s="776">
        <v>6500</v>
      </c>
      <c r="D8" s="777"/>
      <c r="E8" s="778"/>
      <c r="F8" s="766"/>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4" customHeight="1" x14ac:dyDescent="0.25">
      <c r="A9" s="770"/>
      <c r="B9" s="779" t="s">
        <v>711</v>
      </c>
      <c r="C9" s="780">
        <v>4800</v>
      </c>
      <c r="D9" s="777"/>
      <c r="E9" s="781"/>
      <c r="F9" s="766"/>
      <c r="G9" s="766"/>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4" customHeight="1" x14ac:dyDescent="0.25">
      <c r="A10" s="770"/>
      <c r="B10" s="779" t="s">
        <v>933</v>
      </c>
      <c r="C10" s="780">
        <v>4900</v>
      </c>
      <c r="D10" s="777"/>
      <c r="E10" s="781"/>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4" customHeight="1" x14ac:dyDescent="0.25">
      <c r="A11" s="770"/>
      <c r="B11" s="779" t="s">
        <v>934</v>
      </c>
      <c r="C11" s="780">
        <v>6100</v>
      </c>
      <c r="D11" s="777"/>
      <c r="E11" s="781"/>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4" customHeight="1" x14ac:dyDescent="0.25">
      <c r="A12" s="770"/>
      <c r="B12" s="779" t="s">
        <v>935</v>
      </c>
      <c r="C12" s="780">
        <v>4850</v>
      </c>
      <c r="D12" s="777"/>
      <c r="E12" s="781"/>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4" customHeight="1" x14ac:dyDescent="0.25">
      <c r="A13" s="770"/>
      <c r="B13" s="779" t="s">
        <v>936</v>
      </c>
      <c r="C13" s="780">
        <v>4900</v>
      </c>
      <c r="D13" s="777"/>
      <c r="E13" s="663"/>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4" customHeight="1" thickBot="1" x14ac:dyDescent="0.3">
      <c r="A14" s="770"/>
      <c r="B14" s="782" t="s">
        <v>937</v>
      </c>
      <c r="C14" s="783">
        <v>4850</v>
      </c>
      <c r="D14" s="777"/>
      <c r="E14" s="663"/>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4" customHeight="1" x14ac:dyDescent="0.25">
      <c r="A15" s="770"/>
      <c r="B15" s="784"/>
      <c r="C15" s="784"/>
      <c r="D15" s="784"/>
      <c r="E15" s="785"/>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4" customHeight="1" x14ac:dyDescent="0.25">
      <c r="A16" s="770"/>
      <c r="B16" s="714" t="s">
        <v>938</v>
      </c>
      <c r="C16" s="786"/>
      <c r="D16" s="786"/>
      <c r="E16" s="663"/>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4" customHeight="1" x14ac:dyDescent="0.25">
      <c r="A17" s="770"/>
      <c r="B17" s="714"/>
      <c r="C17" s="786"/>
      <c r="D17" s="786"/>
      <c r="E17" s="663"/>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4" customHeight="1" x14ac:dyDescent="0.25">
      <c r="A18" s="769">
        <v>0.5</v>
      </c>
      <c r="B18" s="662" t="s">
        <v>0</v>
      </c>
      <c r="C18" s="662"/>
      <c r="D18" s="662"/>
      <c r="E18" s="663"/>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4" customHeight="1" x14ac:dyDescent="0.25">
      <c r="A19" s="769"/>
      <c r="B19" s="787" t="s">
        <v>939</v>
      </c>
      <c r="C19" s="771"/>
      <c r="D19" s="662"/>
      <c r="E19" s="663"/>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4" customHeight="1" x14ac:dyDescent="0.25">
      <c r="A20" s="769"/>
      <c r="B20" s="787" t="s">
        <v>940</v>
      </c>
      <c r="C20" s="771"/>
      <c r="D20" s="662"/>
      <c r="E20" s="663"/>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4" customHeight="1" x14ac:dyDescent="0.25">
      <c r="A21" s="769"/>
      <c r="B21" s="662"/>
      <c r="C21" s="662"/>
      <c r="D21" s="662"/>
      <c r="E21" s="663"/>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4" customHeight="1" x14ac:dyDescent="0.25">
      <c r="A22" s="769">
        <v>1</v>
      </c>
      <c r="B22" s="662" t="s">
        <v>1</v>
      </c>
      <c r="C22" s="662"/>
      <c r="D22" s="771"/>
      <c r="E22" s="788"/>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4" customHeight="1" x14ac:dyDescent="0.25">
      <c r="A23" s="769"/>
      <c r="B23" s="787" t="s">
        <v>941</v>
      </c>
      <c r="C23" s="771"/>
      <c r="D23" s="771"/>
      <c r="E23" s="788"/>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4" customHeight="1" x14ac:dyDescent="0.25">
      <c r="A24" s="769"/>
      <c r="B24" s="787" t="s">
        <v>942</v>
      </c>
      <c r="C24" s="771"/>
      <c r="D24" s="771"/>
      <c r="E24" s="788"/>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4" customHeight="1" x14ac:dyDescent="0.25">
      <c r="A25" s="769"/>
      <c r="B25" s="787"/>
      <c r="C25" s="662"/>
      <c r="D25" s="771"/>
      <c r="E25" s="788"/>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4" customHeight="1" x14ac:dyDescent="0.25">
      <c r="A26" s="769">
        <v>0.5</v>
      </c>
      <c r="B26" s="662" t="s">
        <v>2</v>
      </c>
      <c r="C26" s="662"/>
      <c r="D26" s="771"/>
      <c r="E26" s="788"/>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4" customHeight="1" x14ac:dyDescent="0.25">
      <c r="A27" s="789"/>
      <c r="B27" s="662" t="s">
        <v>943</v>
      </c>
      <c r="C27" s="662"/>
      <c r="D27" s="771"/>
      <c r="E27" s="788"/>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4" customHeight="1" x14ac:dyDescent="0.25">
      <c r="A28" s="789"/>
      <c r="B28" s="662" t="s">
        <v>944</v>
      </c>
      <c r="C28" s="662"/>
      <c r="D28" s="771"/>
      <c r="E28" s="788"/>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4" customHeight="1" thickBot="1" x14ac:dyDescent="0.3">
      <c r="A29" s="790"/>
      <c r="B29" s="791"/>
      <c r="C29" s="693"/>
      <c r="D29" s="792"/>
      <c r="E29" s="793"/>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4" customHeight="1" x14ac:dyDescent="0.25">
      <c r="A30" s="766"/>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4" customHeight="1" x14ac:dyDescent="0.25">
      <c r="A31" s="766" t="s">
        <v>0</v>
      </c>
      <c r="B31" s="766" t="s">
        <v>945</v>
      </c>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4" customHeight="1" x14ac:dyDescent="0.25">
      <c r="A32" s="766"/>
      <c r="B32" s="766" t="s">
        <v>946</v>
      </c>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4" customHeight="1" x14ac:dyDescent="0.25">
      <c r="A33" s="766"/>
      <c r="B33" s="766" t="s">
        <v>947</v>
      </c>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4" customHeight="1" x14ac:dyDescent="0.25">
      <c r="A34" s="766"/>
      <c r="B34" s="766"/>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4" customHeight="1" x14ac:dyDescent="0.25">
      <c r="A35" s="766" t="s">
        <v>1</v>
      </c>
      <c r="B35" s="766" t="s">
        <v>948</v>
      </c>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4" customHeight="1" x14ac:dyDescent="0.25">
      <c r="A36" s="766"/>
      <c r="B36" s="766" t="s">
        <v>949</v>
      </c>
      <c r="C36" s="766"/>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4" customHeight="1" x14ac:dyDescent="0.25">
      <c r="A37" s="766"/>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4" customHeight="1" x14ac:dyDescent="0.25">
      <c r="A38" s="766"/>
      <c r="B38" s="766" t="s">
        <v>950</v>
      </c>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4" customHeight="1" x14ac:dyDescent="0.25">
      <c r="A39" s="766"/>
      <c r="B39" s="766" t="s">
        <v>951</v>
      </c>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4" customHeight="1" x14ac:dyDescent="0.25">
      <c r="A40" s="766"/>
      <c r="B40" s="766"/>
      <c r="C40" s="766"/>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4" customHeight="1" x14ac:dyDescent="0.25">
      <c r="A41" s="766" t="s">
        <v>2</v>
      </c>
      <c r="B41" s="766" t="s">
        <v>952</v>
      </c>
      <c r="C41" s="766"/>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4" customHeight="1" x14ac:dyDescent="0.25">
      <c r="A42" s="766"/>
      <c r="B42" s="766" t="s">
        <v>953</v>
      </c>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4" customHeight="1" x14ac:dyDescent="0.25">
      <c r="A43" s="766"/>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4" customHeight="1" x14ac:dyDescent="0.25">
      <c r="A44" s="766"/>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4" customHeight="1" x14ac:dyDescent="0.25">
      <c r="A45" s="766"/>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4" customHeight="1" x14ac:dyDescent="0.25">
      <c r="A46" s="766"/>
      <c r="B46" s="766"/>
      <c r="C46" s="766"/>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4" customHeight="1" x14ac:dyDescent="0.25">
      <c r="A47" s="766"/>
      <c r="B47" s="766"/>
      <c r="C47" s="766"/>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4" customHeight="1" x14ac:dyDescent="0.25">
      <c r="A48" s="766"/>
      <c r="B48" s="766"/>
      <c r="C48" s="766"/>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4" customHeight="1" x14ac:dyDescent="0.25">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4" customHeight="1" x14ac:dyDescent="0.25">
      <c r="A50" s="766"/>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4" customHeight="1" x14ac:dyDescent="0.25">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4" customHeight="1" x14ac:dyDescent="0.25">
      <c r="A52" s="766"/>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4" customHeight="1" x14ac:dyDescent="0.25">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4" customHeight="1" x14ac:dyDescent="0.25">
      <c r="A54" s="766"/>
      <c r="B54" s="766"/>
      <c r="C54" s="766"/>
      <c r="D54" s="766"/>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4" customHeight="1" x14ac:dyDescent="0.25">
      <c r="A55" s="766"/>
      <c r="B55" s="766"/>
      <c r="C55" s="766"/>
      <c r="D55" s="766"/>
      <c r="E55" s="766"/>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4" customHeight="1" x14ac:dyDescent="0.25">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4" customHeight="1" x14ac:dyDescent="0.25">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4" customHeight="1" x14ac:dyDescent="0.25">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4" customHeight="1" x14ac:dyDescent="0.25">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4" customHeight="1" x14ac:dyDescent="0.25">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4" customHeight="1" x14ac:dyDescent="0.25">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4" customHeight="1" x14ac:dyDescent="0.25">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4" customHeight="1" x14ac:dyDescent="0.25">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4" customHeight="1" x14ac:dyDescent="0.25">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4" customHeight="1" x14ac:dyDescent="0.25">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4" customHeight="1" x14ac:dyDescent="0.25">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4" customHeight="1" x14ac:dyDescent="0.25">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4" customHeight="1" x14ac:dyDescent="0.25">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4" customHeight="1" x14ac:dyDescent="0.25">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4" customHeight="1" x14ac:dyDescent="0.25">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4" customHeight="1" x14ac:dyDescent="0.25">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4" customHeight="1" x14ac:dyDescent="0.25">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4" customHeight="1" x14ac:dyDescent="0.25">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4" customHeight="1" x14ac:dyDescent="0.25">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4" customHeight="1" x14ac:dyDescent="0.25">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4" customHeight="1" x14ac:dyDescent="0.25">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4" customHeight="1" x14ac:dyDescent="0.25">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4" customHeight="1" x14ac:dyDescent="0.25">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4" customHeight="1" x14ac:dyDescent="0.25">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4" customHeight="1" x14ac:dyDescent="0.25">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4" customHeight="1" x14ac:dyDescent="0.25">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4" customHeight="1" x14ac:dyDescent="0.25">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4" customHeight="1" x14ac:dyDescent="0.25">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4" customHeight="1" x14ac:dyDescent="0.25">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4" customHeight="1" x14ac:dyDescent="0.25">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4" customHeight="1" x14ac:dyDescent="0.25">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4" customHeight="1" x14ac:dyDescent="0.25">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4" customHeight="1" x14ac:dyDescent="0.25">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4" customHeight="1" x14ac:dyDescent="0.25">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4" customHeight="1" x14ac:dyDescent="0.25">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4" customHeight="1" x14ac:dyDescent="0.25">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4" customHeight="1" x14ac:dyDescent="0.25">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4" customHeight="1" x14ac:dyDescent="0.25">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4" customHeight="1" x14ac:dyDescent="0.25">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4" customHeight="1" x14ac:dyDescent="0.25">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4" customHeight="1" x14ac:dyDescent="0.25">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4" customHeight="1" x14ac:dyDescent="0.25">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4" customHeight="1" x14ac:dyDescent="0.25">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4" customHeight="1" x14ac:dyDescent="0.25">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4" customHeight="1" x14ac:dyDescent="0.25">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4" customHeight="1" x14ac:dyDescent="0.25">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4" customHeight="1" x14ac:dyDescent="0.25">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4" customHeight="1" x14ac:dyDescent="0.25">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4" customHeight="1" x14ac:dyDescent="0.25">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4" customHeight="1" x14ac:dyDescent="0.25">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4" customHeight="1" x14ac:dyDescent="0.25">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4" customHeight="1" x14ac:dyDescent="0.25">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4" customHeight="1" x14ac:dyDescent="0.25">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4" customHeight="1" x14ac:dyDescent="0.25">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4" customHeight="1" x14ac:dyDescent="0.25">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4" customHeight="1" x14ac:dyDescent="0.25">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4" customHeight="1" x14ac:dyDescent="0.25">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4" customHeight="1" x14ac:dyDescent="0.25">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4" customHeight="1" x14ac:dyDescent="0.25">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4" customHeight="1" x14ac:dyDescent="0.25">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4" customHeight="1" x14ac:dyDescent="0.25">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4" customHeight="1" x14ac:dyDescent="0.25">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4" customHeight="1" x14ac:dyDescent="0.25">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4" customHeight="1" x14ac:dyDescent="0.25">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4" customHeight="1" x14ac:dyDescent="0.25">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4" customHeight="1" x14ac:dyDescent="0.25">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4" customHeight="1" x14ac:dyDescent="0.2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4" customHeight="1" x14ac:dyDescent="0.2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4" customHeight="1" x14ac:dyDescent="0.2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4" customHeight="1" x14ac:dyDescent="0.2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4" customHeight="1" x14ac:dyDescent="0.2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4" customHeight="1" x14ac:dyDescent="0.2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4" customHeight="1" x14ac:dyDescent="0.2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4" customHeight="1" x14ac:dyDescent="0.2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4" customHeight="1" x14ac:dyDescent="0.2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4" customHeight="1" x14ac:dyDescent="0.2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4" customHeight="1" x14ac:dyDescent="0.2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4" customHeight="1" x14ac:dyDescent="0.2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4" customHeight="1" x14ac:dyDescent="0.2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4" customHeight="1" x14ac:dyDescent="0.2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4" customHeight="1" x14ac:dyDescent="0.2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4" customHeight="1" x14ac:dyDescent="0.2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4" customHeight="1" x14ac:dyDescent="0.2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4" customHeight="1" x14ac:dyDescent="0.2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4" customHeight="1" x14ac:dyDescent="0.2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4" customHeight="1" x14ac:dyDescent="0.2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4" customHeight="1" x14ac:dyDescent="0.2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4" customHeight="1" x14ac:dyDescent="0.2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4" customHeight="1" x14ac:dyDescent="0.2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4" customHeight="1" x14ac:dyDescent="0.2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4" customHeight="1" x14ac:dyDescent="0.2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4" customHeight="1" x14ac:dyDescent="0.2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4" customHeight="1" x14ac:dyDescent="0.2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4" customHeight="1" x14ac:dyDescent="0.2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4" customHeight="1" x14ac:dyDescent="0.2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4" customHeight="1" x14ac:dyDescent="0.2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4" customHeight="1" x14ac:dyDescent="0.2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4" customHeight="1" x14ac:dyDescent="0.2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4" customHeight="1" x14ac:dyDescent="0.2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4" customHeight="1" x14ac:dyDescent="0.2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4" customHeight="1" x14ac:dyDescent="0.2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4" customHeight="1" x14ac:dyDescent="0.2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4" customHeight="1" x14ac:dyDescent="0.2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4" customHeight="1" x14ac:dyDescent="0.2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4" customHeight="1" x14ac:dyDescent="0.2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4" customHeight="1" x14ac:dyDescent="0.2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4" customHeight="1" x14ac:dyDescent="0.2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4" customHeight="1" x14ac:dyDescent="0.2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4" customHeight="1" x14ac:dyDescent="0.2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4" customHeight="1" x14ac:dyDescent="0.2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4" customHeight="1" x14ac:dyDescent="0.2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4" customHeight="1" x14ac:dyDescent="0.2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4" customHeight="1" x14ac:dyDescent="0.2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4" customHeight="1" x14ac:dyDescent="0.2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4" customHeight="1" x14ac:dyDescent="0.2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4" customHeight="1" x14ac:dyDescent="0.2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4" customHeight="1" x14ac:dyDescent="0.2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4" customHeight="1" x14ac:dyDescent="0.2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4" customHeight="1" x14ac:dyDescent="0.2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4" customHeight="1" x14ac:dyDescent="0.2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4" customHeight="1" x14ac:dyDescent="0.2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4" customHeight="1" x14ac:dyDescent="0.2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4" customHeight="1" x14ac:dyDescent="0.2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4" customHeight="1" x14ac:dyDescent="0.2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4" customHeight="1" x14ac:dyDescent="0.2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4" customHeight="1" x14ac:dyDescent="0.2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4" customHeight="1" x14ac:dyDescent="0.2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4" customHeight="1" x14ac:dyDescent="0.2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4" customHeight="1" x14ac:dyDescent="0.2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4" customHeight="1" x14ac:dyDescent="0.2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4" customHeight="1" x14ac:dyDescent="0.2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4" customHeight="1" x14ac:dyDescent="0.2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4" customHeight="1" x14ac:dyDescent="0.2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4" customHeight="1" x14ac:dyDescent="0.2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4" customHeight="1" x14ac:dyDescent="0.2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4" customHeight="1" x14ac:dyDescent="0.2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4" customHeight="1" x14ac:dyDescent="0.2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4" customHeight="1" x14ac:dyDescent="0.2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4" customHeight="1" x14ac:dyDescent="0.2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4" customHeight="1" x14ac:dyDescent="0.2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x14ac:dyDescent="0.25">
      <c r="X196" s="766"/>
      <c r="Y196" s="766"/>
      <c r="Z196" s="766"/>
      <c r="AA196" s="766"/>
      <c r="AB196" s="766"/>
      <c r="AC196" s="766"/>
      <c r="AD196" s="766"/>
      <c r="AE196" s="766"/>
      <c r="AF196" s="766"/>
      <c r="AG196" s="766"/>
      <c r="AH196" s="766"/>
      <c r="AI196" s="766"/>
      <c r="AJ196" s="766"/>
      <c r="AK196" s="766"/>
      <c r="AL196" s="766"/>
      <c r="AM196" s="766"/>
      <c r="AN196" s="766"/>
      <c r="AO196" s="766"/>
      <c r="AP196" s="766"/>
      <c r="AQ196" s="766"/>
      <c r="AR196" s="766"/>
      <c r="AS196" s="766"/>
      <c r="AT196" s="766"/>
      <c r="AU196" s="766"/>
      <c r="AV196" s="766"/>
      <c r="AW196" s="766"/>
      <c r="AX196" s="766"/>
      <c r="AY196" s="766"/>
      <c r="AZ196" s="766"/>
    </row>
    <row r="197" spans="1:52" ht="0" hidden="1" customHeight="1" x14ac:dyDescent="0.25">
      <c r="X197" s="766"/>
      <c r="Y197" s="766"/>
      <c r="Z197" s="766"/>
      <c r="AA197" s="766"/>
      <c r="AB197" s="766"/>
      <c r="AC197" s="766"/>
      <c r="AD197" s="766"/>
      <c r="AE197" s="766"/>
      <c r="AF197" s="766"/>
      <c r="AG197" s="766"/>
      <c r="AH197" s="766"/>
      <c r="AI197" s="766"/>
      <c r="AJ197" s="766"/>
      <c r="AK197" s="766"/>
      <c r="AL197" s="766"/>
      <c r="AM197" s="766"/>
      <c r="AN197" s="766"/>
      <c r="AO197" s="766"/>
      <c r="AP197" s="766"/>
      <c r="AQ197" s="766"/>
      <c r="AR197" s="766"/>
      <c r="AS197" s="766"/>
      <c r="AT197" s="766"/>
      <c r="AU197" s="766"/>
      <c r="AV197" s="766"/>
      <c r="AW197" s="766"/>
      <c r="AX197" s="766"/>
      <c r="AY197" s="766"/>
      <c r="AZ197" s="766"/>
    </row>
    <row r="198" spans="1:52" ht="0" hidden="1" customHeight="1" x14ac:dyDescent="0.25">
      <c r="X198" s="766"/>
      <c r="Y198" s="766"/>
      <c r="Z198" s="766"/>
      <c r="AA198" s="766"/>
      <c r="AB198" s="766"/>
      <c r="AC198" s="766"/>
      <c r="AD198" s="766"/>
      <c r="AE198" s="766"/>
      <c r="AF198" s="766"/>
      <c r="AG198" s="766"/>
      <c r="AH198" s="766"/>
      <c r="AI198" s="766"/>
      <c r="AJ198" s="766"/>
      <c r="AK198" s="766"/>
      <c r="AL198" s="766"/>
      <c r="AM198" s="766"/>
      <c r="AN198" s="766"/>
      <c r="AO198" s="766"/>
      <c r="AP198" s="766"/>
      <c r="AQ198" s="766"/>
      <c r="AR198" s="766"/>
      <c r="AS198" s="766"/>
      <c r="AT198" s="766"/>
      <c r="AU198" s="766"/>
      <c r="AV198" s="766"/>
      <c r="AW198" s="766"/>
      <c r="AX198" s="766"/>
      <c r="AY198" s="766"/>
      <c r="AZ198" s="766"/>
    </row>
    <row r="199" spans="1:52" ht="0" hidden="1" customHeight="1" x14ac:dyDescent="0.25">
      <c r="X199" s="766"/>
      <c r="Y199" s="766"/>
      <c r="Z199" s="766"/>
      <c r="AA199" s="766"/>
      <c r="AB199" s="766"/>
      <c r="AC199" s="766"/>
      <c r="AD199" s="766"/>
      <c r="AE199" s="766"/>
      <c r="AF199" s="766"/>
      <c r="AG199" s="766"/>
      <c r="AH199" s="766"/>
      <c r="AI199" s="766"/>
      <c r="AJ199" s="766"/>
      <c r="AK199" s="766"/>
      <c r="AL199" s="766"/>
      <c r="AM199" s="766"/>
      <c r="AN199" s="766"/>
      <c r="AO199" s="766"/>
      <c r="AP199" s="766"/>
      <c r="AQ199" s="766"/>
      <c r="AR199" s="766"/>
      <c r="AS199" s="766"/>
      <c r="AT199" s="766"/>
      <c r="AU199" s="766"/>
      <c r="AV199" s="766"/>
      <c r="AW199" s="766"/>
      <c r="AX199" s="766"/>
      <c r="AY199" s="766"/>
      <c r="AZ199" s="766"/>
    </row>
    <row r="200" spans="1:52" ht="0" hidden="1" customHeight="1" x14ac:dyDescent="0.25">
      <c r="X200" s="766"/>
      <c r="Y200" s="766"/>
      <c r="Z200" s="766"/>
      <c r="AA200" s="766"/>
      <c r="AB200" s="766"/>
      <c r="AC200" s="766"/>
      <c r="AD200" s="766"/>
      <c r="AE200" s="766"/>
      <c r="AF200" s="766"/>
      <c r="AG200" s="766"/>
      <c r="AH200" s="766"/>
      <c r="AI200" s="766"/>
      <c r="AJ200" s="766"/>
      <c r="AK200" s="766"/>
      <c r="AL200" s="766"/>
      <c r="AM200" s="766"/>
      <c r="AN200" s="766"/>
      <c r="AO200" s="766"/>
      <c r="AP200" s="766"/>
      <c r="AQ200" s="766"/>
      <c r="AR200" s="766"/>
      <c r="AS200" s="766"/>
      <c r="AT200" s="766"/>
      <c r="AU200" s="766"/>
      <c r="AV200" s="766"/>
      <c r="AW200" s="766"/>
      <c r="AX200" s="766"/>
      <c r="AY200" s="766"/>
      <c r="AZ200" s="766"/>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5" priority="1" operator="equal">
      <formula>"Review Later"</formula>
    </cfRule>
    <cfRule type="cellIs" dxfId="4" priority="2" operator="equal">
      <formula>"Finished"</formula>
    </cfRule>
    <cfRule type="cellIs" dxfId="3" priority="3" operator="equal">
      <formula>"Incomplete"</formula>
    </cfRule>
  </conditionalFormatting>
  <pageMargins left="0.75" right="0.75" top="1" bottom="1"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C205"/>
  <sheetViews>
    <sheetView zoomScaleNormal="100" zoomScalePageLayoutView="80" workbookViewId="0"/>
  </sheetViews>
  <sheetFormatPr defaultColWidth="0" defaultRowHeight="0" customHeight="1" zeroHeight="1" x14ac:dyDescent="0.25"/>
  <cols>
    <col min="1" max="1" width="11.6640625" style="765" customWidth="1"/>
    <col min="2" max="2" width="36" style="765" customWidth="1"/>
    <col min="3" max="3" width="27.33203125" style="765" customWidth="1"/>
    <col min="4" max="5" width="15.109375" style="765" customWidth="1"/>
    <col min="6" max="52" width="8.6640625" style="765" customWidth="1"/>
    <col min="53" max="55" width="0" style="765" hidden="1" customWidth="1"/>
    <col min="56" max="16384" width="8.6640625" style="765" hidden="1"/>
  </cols>
  <sheetData>
    <row r="1" spans="1:52" ht="14.4" customHeight="1" thickBot="1" x14ac:dyDescent="0.3">
      <c r="A1" s="3">
        <v>26</v>
      </c>
      <c r="B1" s="4"/>
      <c r="C1" s="658"/>
      <c r="D1" s="658"/>
      <c r="E1" s="659"/>
      <c r="F1" s="766"/>
      <c r="G1" s="766"/>
      <c r="H1" s="766"/>
      <c r="I1" s="766"/>
      <c r="J1" s="766"/>
      <c r="K1" s="766"/>
      <c r="L1" s="766"/>
      <c r="M1" s="766"/>
      <c r="N1" s="766"/>
      <c r="O1" s="766"/>
      <c r="P1" s="766"/>
      <c r="Q1" s="766"/>
      <c r="R1" s="766"/>
      <c r="S1" s="766"/>
      <c r="T1" s="766"/>
      <c r="U1" s="766"/>
      <c r="V1" s="766"/>
      <c r="W1" s="766"/>
    </row>
    <row r="2" spans="1:52" ht="14.4" customHeight="1" x14ac:dyDescent="0.25">
      <c r="A2" s="767" t="s">
        <v>4</v>
      </c>
      <c r="B2" s="768"/>
      <c r="C2" s="662"/>
      <c r="D2" s="662"/>
      <c r="E2" s="663"/>
      <c r="F2" s="766"/>
      <c r="G2" s="766"/>
      <c r="H2" s="766"/>
      <c r="I2" s="766"/>
      <c r="J2" s="766"/>
      <c r="K2" s="766"/>
      <c r="L2" s="766"/>
      <c r="M2" s="766"/>
      <c r="N2" s="766"/>
      <c r="O2" s="766"/>
      <c r="P2" s="766"/>
      <c r="Q2" s="766"/>
      <c r="R2" s="766"/>
      <c r="S2" s="766"/>
      <c r="T2" s="766"/>
      <c r="U2" s="766"/>
      <c r="V2" s="766"/>
      <c r="W2" s="766"/>
    </row>
    <row r="3" spans="1:52" ht="14.4" customHeight="1" x14ac:dyDescent="0.25">
      <c r="A3" s="769">
        <v>2</v>
      </c>
      <c r="B3" s="665"/>
      <c r="C3" s="662"/>
      <c r="D3" s="662"/>
      <c r="E3" s="663"/>
      <c r="F3" s="766"/>
      <c r="G3" s="766"/>
      <c r="H3" s="766"/>
      <c r="I3" s="766"/>
      <c r="J3" s="766"/>
      <c r="K3" s="766"/>
      <c r="L3" s="766"/>
      <c r="M3" s="766"/>
      <c r="N3" s="766"/>
      <c r="O3" s="766"/>
      <c r="P3" s="766"/>
      <c r="Q3" s="766"/>
      <c r="R3" s="766"/>
      <c r="S3" s="766"/>
      <c r="T3" s="766"/>
      <c r="U3" s="766"/>
      <c r="V3" s="766"/>
      <c r="W3" s="766"/>
    </row>
    <row r="4" spans="1:52" ht="14.4" customHeight="1" x14ac:dyDescent="0.25">
      <c r="A4" s="770"/>
      <c r="B4" s="662" t="s">
        <v>928</v>
      </c>
      <c r="C4" s="662"/>
      <c r="D4" s="662"/>
      <c r="E4" s="663"/>
      <c r="F4" s="766"/>
      <c r="G4" s="766"/>
      <c r="H4" s="766"/>
      <c r="I4" s="766"/>
      <c r="J4" s="766"/>
      <c r="K4" s="766"/>
      <c r="L4" s="766"/>
      <c r="M4" s="766"/>
      <c r="N4" s="766"/>
      <c r="O4" s="766"/>
      <c r="P4" s="766"/>
      <c r="Q4" s="766"/>
      <c r="R4" s="766"/>
      <c r="S4" s="766"/>
      <c r="T4" s="766"/>
      <c r="U4" s="766"/>
      <c r="V4" s="766"/>
      <c r="W4" s="766"/>
    </row>
    <row r="5" spans="1:52" ht="14.4" customHeight="1" x14ac:dyDescent="0.25">
      <c r="A5" s="770"/>
      <c r="B5" s="662" t="s">
        <v>929</v>
      </c>
      <c r="C5" s="662"/>
      <c r="D5" s="662"/>
      <c r="E5" s="663"/>
      <c r="F5" s="766"/>
      <c r="G5" s="766"/>
      <c r="H5" s="766"/>
      <c r="I5" s="766"/>
      <c r="J5" s="766"/>
      <c r="K5" s="766"/>
      <c r="L5" s="766"/>
      <c r="M5" s="766"/>
      <c r="N5" s="766"/>
      <c r="O5" s="766"/>
      <c r="P5" s="766"/>
      <c r="Q5" s="766"/>
      <c r="R5" s="766"/>
      <c r="S5" s="766"/>
      <c r="T5" s="766"/>
      <c r="U5" s="766"/>
      <c r="V5" s="766"/>
      <c r="W5" s="766"/>
    </row>
    <row r="6" spans="1:52" ht="14.4" customHeight="1" thickBot="1" x14ac:dyDescent="0.3">
      <c r="A6" s="770"/>
      <c r="B6" s="771"/>
      <c r="C6" s="662"/>
      <c r="D6" s="662"/>
      <c r="E6" s="663"/>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4" customHeight="1" thickBot="1" x14ac:dyDescent="0.3">
      <c r="A7" s="770"/>
      <c r="B7" s="772" t="s">
        <v>930</v>
      </c>
      <c r="C7" s="773" t="s">
        <v>931</v>
      </c>
      <c r="D7" s="662"/>
      <c r="E7" s="774"/>
      <c r="F7" s="766"/>
      <c r="G7" s="766"/>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4" customHeight="1" x14ac:dyDescent="0.25">
      <c r="A8" s="770"/>
      <c r="B8" s="775" t="s">
        <v>932</v>
      </c>
      <c r="C8" s="776">
        <v>6500</v>
      </c>
      <c r="D8" s="777"/>
      <c r="E8" s="778"/>
      <c r="F8" s="766"/>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4" customHeight="1" x14ac:dyDescent="0.25">
      <c r="A9" s="770"/>
      <c r="B9" s="779" t="s">
        <v>711</v>
      </c>
      <c r="C9" s="780">
        <v>4800</v>
      </c>
      <c r="D9" s="777"/>
      <c r="E9" s="781"/>
      <c r="F9" s="766"/>
      <c r="G9" s="766"/>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4" customHeight="1" x14ac:dyDescent="0.25">
      <c r="A10" s="770"/>
      <c r="B10" s="779" t="s">
        <v>933</v>
      </c>
      <c r="C10" s="780">
        <v>4900</v>
      </c>
      <c r="D10" s="777"/>
      <c r="E10" s="781"/>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4" customHeight="1" x14ac:dyDescent="0.25">
      <c r="A11" s="770"/>
      <c r="B11" s="779" t="s">
        <v>934</v>
      </c>
      <c r="C11" s="780">
        <v>6100</v>
      </c>
      <c r="D11" s="777"/>
      <c r="E11" s="781"/>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4" customHeight="1" x14ac:dyDescent="0.25">
      <c r="A12" s="770"/>
      <c r="B12" s="779" t="s">
        <v>935</v>
      </c>
      <c r="C12" s="780">
        <v>4850</v>
      </c>
      <c r="D12" s="777"/>
      <c r="E12" s="781"/>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4" customHeight="1" x14ac:dyDescent="0.25">
      <c r="A13" s="770"/>
      <c r="B13" s="779" t="s">
        <v>936</v>
      </c>
      <c r="C13" s="780">
        <v>4900</v>
      </c>
      <c r="D13" s="777"/>
      <c r="E13" s="663"/>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4" customHeight="1" thickBot="1" x14ac:dyDescent="0.3">
      <c r="A14" s="770"/>
      <c r="B14" s="782" t="s">
        <v>937</v>
      </c>
      <c r="C14" s="783">
        <v>4850</v>
      </c>
      <c r="D14" s="777"/>
      <c r="E14" s="663"/>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4" customHeight="1" x14ac:dyDescent="0.25">
      <c r="A15" s="770"/>
      <c r="B15" s="784"/>
      <c r="C15" s="784"/>
      <c r="D15" s="784"/>
      <c r="E15" s="785"/>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4" customHeight="1" x14ac:dyDescent="0.25">
      <c r="A16" s="770"/>
      <c r="B16" s="714" t="s">
        <v>938</v>
      </c>
      <c r="C16" s="786"/>
      <c r="D16" s="786"/>
      <c r="E16" s="663"/>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4" customHeight="1" x14ac:dyDescent="0.25">
      <c r="A17" s="770"/>
      <c r="B17" s="714"/>
      <c r="C17" s="786"/>
      <c r="D17" s="786"/>
      <c r="E17" s="663"/>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4" customHeight="1" x14ac:dyDescent="0.25">
      <c r="A18" s="769">
        <v>0.5</v>
      </c>
      <c r="B18" s="662" t="s">
        <v>0</v>
      </c>
      <c r="C18" s="662"/>
      <c r="D18" s="662"/>
      <c r="E18" s="663"/>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4" customHeight="1" x14ac:dyDescent="0.25">
      <c r="A19" s="769"/>
      <c r="B19" s="787" t="s">
        <v>939</v>
      </c>
      <c r="C19" s="771"/>
      <c r="D19" s="662"/>
      <c r="E19" s="663"/>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4" customHeight="1" x14ac:dyDescent="0.25">
      <c r="A20" s="769"/>
      <c r="B20" s="787" t="s">
        <v>940</v>
      </c>
      <c r="C20" s="771"/>
      <c r="D20" s="662"/>
      <c r="E20" s="663"/>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4" customHeight="1" x14ac:dyDescent="0.25">
      <c r="A21" s="769"/>
      <c r="B21" s="662"/>
      <c r="C21" s="662"/>
      <c r="D21" s="662"/>
      <c r="E21" s="663"/>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4" customHeight="1" x14ac:dyDescent="0.25">
      <c r="A22" s="769">
        <v>1</v>
      </c>
      <c r="B22" s="662" t="s">
        <v>1</v>
      </c>
      <c r="C22" s="662"/>
      <c r="D22" s="771"/>
      <c r="E22" s="788"/>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4" customHeight="1" x14ac:dyDescent="0.25">
      <c r="A23" s="769"/>
      <c r="B23" s="787" t="s">
        <v>941</v>
      </c>
      <c r="C23" s="771"/>
      <c r="D23" s="771"/>
      <c r="E23" s="788"/>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4" customHeight="1" x14ac:dyDescent="0.25">
      <c r="A24" s="769"/>
      <c r="B24" s="787" t="s">
        <v>942</v>
      </c>
      <c r="C24" s="771"/>
      <c r="D24" s="771"/>
      <c r="E24" s="788"/>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4" customHeight="1" x14ac:dyDescent="0.25">
      <c r="A25" s="769"/>
      <c r="B25" s="787"/>
      <c r="C25" s="662"/>
      <c r="D25" s="771"/>
      <c r="E25" s="788"/>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4" customHeight="1" x14ac:dyDescent="0.25">
      <c r="A26" s="769">
        <v>0.5</v>
      </c>
      <c r="B26" s="662" t="s">
        <v>2</v>
      </c>
      <c r="C26" s="662"/>
      <c r="D26" s="771"/>
      <c r="E26" s="788"/>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4" customHeight="1" x14ac:dyDescent="0.25">
      <c r="A27" s="789"/>
      <c r="B27" s="662" t="s">
        <v>943</v>
      </c>
      <c r="C27" s="662"/>
      <c r="D27" s="771"/>
      <c r="E27" s="788"/>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4" customHeight="1" x14ac:dyDescent="0.25">
      <c r="A28" s="789"/>
      <c r="B28" s="662" t="s">
        <v>944</v>
      </c>
      <c r="C28" s="662"/>
      <c r="D28" s="771"/>
      <c r="E28" s="788"/>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4" customHeight="1" thickBot="1" x14ac:dyDescent="0.3">
      <c r="A29" s="790"/>
      <c r="B29" s="791"/>
      <c r="C29" s="693"/>
      <c r="D29" s="792"/>
      <c r="E29" s="793"/>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4" customHeight="1" x14ac:dyDescent="0.25">
      <c r="A30" s="766"/>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4" customHeight="1" x14ac:dyDescent="0.25">
      <c r="A31" s="766" t="s">
        <v>0</v>
      </c>
      <c r="B31" s="766" t="s">
        <v>954</v>
      </c>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4" customHeight="1" x14ac:dyDescent="0.25">
      <c r="A32" s="766"/>
      <c r="B32" s="766" t="s">
        <v>955</v>
      </c>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4" customHeight="1" x14ac:dyDescent="0.25">
      <c r="A33" s="766"/>
      <c r="B33" s="766" t="s">
        <v>956</v>
      </c>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4" customHeight="1" x14ac:dyDescent="0.25">
      <c r="A34" s="766"/>
      <c r="B34" s="766"/>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4" customHeight="1" x14ac:dyDescent="0.25">
      <c r="A35" s="766" t="s">
        <v>1</v>
      </c>
      <c r="B35" s="766" t="s">
        <v>957</v>
      </c>
      <c r="C35" s="766" t="s">
        <v>958</v>
      </c>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4" customHeight="1" x14ac:dyDescent="0.25">
      <c r="A36" s="766"/>
      <c r="B36" s="766" t="s">
        <v>959</v>
      </c>
      <c r="C36" s="766" t="s">
        <v>960</v>
      </c>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4" customHeight="1" x14ac:dyDescent="0.25">
      <c r="A37" s="766"/>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4" customHeight="1" x14ac:dyDescent="0.25">
      <c r="A38" s="766" t="s">
        <v>2</v>
      </c>
      <c r="B38" s="766" t="s">
        <v>961</v>
      </c>
      <c r="C38" s="766" t="s">
        <v>962</v>
      </c>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4" customHeight="1" x14ac:dyDescent="0.25">
      <c r="A39" s="766"/>
      <c r="B39" s="766"/>
      <c r="C39" s="766" t="s">
        <v>963</v>
      </c>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4" customHeight="1" x14ac:dyDescent="0.25">
      <c r="A40" s="766"/>
      <c r="B40" s="766"/>
      <c r="C40" s="766" t="s">
        <v>964</v>
      </c>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4" customHeight="1" x14ac:dyDescent="0.25">
      <c r="A41" s="766"/>
      <c r="B41" s="766"/>
      <c r="C41" s="766"/>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4" customHeight="1" x14ac:dyDescent="0.25">
      <c r="A42" s="766"/>
      <c r="B42" s="766"/>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4" customHeight="1" x14ac:dyDescent="0.25">
      <c r="A43" s="766"/>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4" customHeight="1" x14ac:dyDescent="0.25">
      <c r="A44" s="766"/>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4" customHeight="1" x14ac:dyDescent="0.25">
      <c r="A45" s="766"/>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4" customHeight="1" x14ac:dyDescent="0.25">
      <c r="A46" s="766"/>
      <c r="B46" s="766"/>
      <c r="C46" s="766"/>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4" customHeight="1" x14ac:dyDescent="0.25">
      <c r="A47" s="766"/>
      <c r="B47" s="766"/>
      <c r="C47" s="766"/>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4" customHeight="1" x14ac:dyDescent="0.25">
      <c r="A48" s="766"/>
      <c r="B48" s="766"/>
      <c r="C48" s="766"/>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4" customHeight="1" x14ac:dyDescent="0.25">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4" customHeight="1" x14ac:dyDescent="0.25">
      <c r="A50" s="766"/>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4" customHeight="1" x14ac:dyDescent="0.25">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4" customHeight="1" x14ac:dyDescent="0.25">
      <c r="A52" s="766"/>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4" customHeight="1" x14ac:dyDescent="0.25">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4" customHeight="1" x14ac:dyDescent="0.25">
      <c r="A54" s="766"/>
      <c r="B54" s="766"/>
      <c r="C54" s="766"/>
      <c r="D54" s="766"/>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4" customHeight="1" x14ac:dyDescent="0.25">
      <c r="A55" s="766"/>
      <c r="B55" s="766"/>
      <c r="C55" s="766"/>
      <c r="D55" s="766"/>
      <c r="E55" s="766"/>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4" customHeight="1" x14ac:dyDescent="0.25">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4" customHeight="1" x14ac:dyDescent="0.25">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4" customHeight="1" x14ac:dyDescent="0.25">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4" customHeight="1" x14ac:dyDescent="0.25">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4" customHeight="1" x14ac:dyDescent="0.25">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4" customHeight="1" x14ac:dyDescent="0.25">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4" customHeight="1" x14ac:dyDescent="0.25">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4" customHeight="1" x14ac:dyDescent="0.25">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4" customHeight="1" x14ac:dyDescent="0.25">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4" customHeight="1" x14ac:dyDescent="0.25">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4" customHeight="1" x14ac:dyDescent="0.25">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4" customHeight="1" x14ac:dyDescent="0.25">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4" customHeight="1" x14ac:dyDescent="0.25">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4" customHeight="1" x14ac:dyDescent="0.25">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4" customHeight="1" x14ac:dyDescent="0.25">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4" customHeight="1" x14ac:dyDescent="0.25">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4" customHeight="1" x14ac:dyDescent="0.25">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4" customHeight="1" x14ac:dyDescent="0.25">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4" customHeight="1" x14ac:dyDescent="0.25">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4" customHeight="1" x14ac:dyDescent="0.25">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4" customHeight="1" x14ac:dyDescent="0.25">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4" customHeight="1" x14ac:dyDescent="0.25">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4" customHeight="1" x14ac:dyDescent="0.25">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4" customHeight="1" x14ac:dyDescent="0.25">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4" customHeight="1" x14ac:dyDescent="0.25">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4" customHeight="1" x14ac:dyDescent="0.25">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4" customHeight="1" x14ac:dyDescent="0.25">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4" customHeight="1" x14ac:dyDescent="0.25">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4" customHeight="1" x14ac:dyDescent="0.25">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4" customHeight="1" x14ac:dyDescent="0.25">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4" customHeight="1" x14ac:dyDescent="0.25">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4" customHeight="1" x14ac:dyDescent="0.25">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4" customHeight="1" x14ac:dyDescent="0.25">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4" customHeight="1" x14ac:dyDescent="0.25">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4" customHeight="1" x14ac:dyDescent="0.25">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4" customHeight="1" x14ac:dyDescent="0.25">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4" customHeight="1" x14ac:dyDescent="0.25">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4" customHeight="1" x14ac:dyDescent="0.25">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4" customHeight="1" x14ac:dyDescent="0.25">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4" customHeight="1" x14ac:dyDescent="0.25">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4" customHeight="1" x14ac:dyDescent="0.25">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4" customHeight="1" x14ac:dyDescent="0.25">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4" customHeight="1" x14ac:dyDescent="0.25">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4" customHeight="1" x14ac:dyDescent="0.25">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4" customHeight="1" x14ac:dyDescent="0.25">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4" customHeight="1" x14ac:dyDescent="0.25">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4" customHeight="1" x14ac:dyDescent="0.25">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4" customHeight="1" x14ac:dyDescent="0.25">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4" customHeight="1" x14ac:dyDescent="0.25">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4" customHeight="1" x14ac:dyDescent="0.25">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4" customHeight="1" x14ac:dyDescent="0.25">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4" customHeight="1" x14ac:dyDescent="0.25">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4" customHeight="1" x14ac:dyDescent="0.25">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4" customHeight="1" x14ac:dyDescent="0.25">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4" customHeight="1" x14ac:dyDescent="0.25">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4" customHeight="1" x14ac:dyDescent="0.25">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4" customHeight="1" x14ac:dyDescent="0.25">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4" customHeight="1" x14ac:dyDescent="0.25">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4" customHeight="1" x14ac:dyDescent="0.25">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4" customHeight="1" x14ac:dyDescent="0.25">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4" customHeight="1" x14ac:dyDescent="0.25">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4" customHeight="1" x14ac:dyDescent="0.25">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4" customHeight="1" x14ac:dyDescent="0.25">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4" customHeight="1" x14ac:dyDescent="0.25">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4" customHeight="1" x14ac:dyDescent="0.25">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4" customHeight="1" x14ac:dyDescent="0.25">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4" customHeight="1" x14ac:dyDescent="0.2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4" customHeight="1" x14ac:dyDescent="0.2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4" customHeight="1" x14ac:dyDescent="0.2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4" customHeight="1" x14ac:dyDescent="0.2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4" customHeight="1" x14ac:dyDescent="0.2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4" customHeight="1" x14ac:dyDescent="0.2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4" customHeight="1" x14ac:dyDescent="0.2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4" customHeight="1" x14ac:dyDescent="0.2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4" customHeight="1" x14ac:dyDescent="0.2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4" customHeight="1" x14ac:dyDescent="0.2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4" customHeight="1" x14ac:dyDescent="0.2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4" customHeight="1" x14ac:dyDescent="0.2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4" customHeight="1" x14ac:dyDescent="0.2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4" customHeight="1" x14ac:dyDescent="0.2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4" customHeight="1" x14ac:dyDescent="0.2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4" customHeight="1" x14ac:dyDescent="0.2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4" customHeight="1" x14ac:dyDescent="0.2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4" customHeight="1" x14ac:dyDescent="0.2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4" customHeight="1" x14ac:dyDescent="0.2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4" customHeight="1" x14ac:dyDescent="0.2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4" customHeight="1" x14ac:dyDescent="0.2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4" customHeight="1" x14ac:dyDescent="0.2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4" customHeight="1" x14ac:dyDescent="0.2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4" customHeight="1" x14ac:dyDescent="0.2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4" customHeight="1" x14ac:dyDescent="0.2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4" customHeight="1" x14ac:dyDescent="0.2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4" customHeight="1" x14ac:dyDescent="0.2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4" customHeight="1" x14ac:dyDescent="0.2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4" customHeight="1" x14ac:dyDescent="0.2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4" customHeight="1" x14ac:dyDescent="0.2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4" customHeight="1" x14ac:dyDescent="0.2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4" customHeight="1" x14ac:dyDescent="0.2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4" customHeight="1" x14ac:dyDescent="0.2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4" customHeight="1" x14ac:dyDescent="0.2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4" customHeight="1" x14ac:dyDescent="0.2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4" customHeight="1" x14ac:dyDescent="0.2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4" customHeight="1" x14ac:dyDescent="0.2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4" customHeight="1" x14ac:dyDescent="0.2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4" customHeight="1" x14ac:dyDescent="0.2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4" customHeight="1" x14ac:dyDescent="0.2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4" customHeight="1" x14ac:dyDescent="0.2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4" customHeight="1" x14ac:dyDescent="0.2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4" customHeight="1" x14ac:dyDescent="0.2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4" customHeight="1" x14ac:dyDescent="0.2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4" customHeight="1" x14ac:dyDescent="0.2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4" customHeight="1" x14ac:dyDescent="0.2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4" customHeight="1" x14ac:dyDescent="0.2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4" customHeight="1" x14ac:dyDescent="0.2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4" customHeight="1" x14ac:dyDescent="0.2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4" customHeight="1" x14ac:dyDescent="0.2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4" customHeight="1" x14ac:dyDescent="0.2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4" customHeight="1" x14ac:dyDescent="0.2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4" customHeight="1" x14ac:dyDescent="0.2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4" customHeight="1" x14ac:dyDescent="0.2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4" customHeight="1" x14ac:dyDescent="0.2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4" customHeight="1" x14ac:dyDescent="0.2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4" customHeight="1" x14ac:dyDescent="0.2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4" customHeight="1" x14ac:dyDescent="0.2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4" customHeight="1" x14ac:dyDescent="0.2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4" customHeight="1" x14ac:dyDescent="0.2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4" customHeight="1" x14ac:dyDescent="0.2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4" customHeight="1" x14ac:dyDescent="0.2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4" customHeight="1" x14ac:dyDescent="0.2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4" customHeight="1" x14ac:dyDescent="0.2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4" customHeight="1" x14ac:dyDescent="0.2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4" customHeight="1" x14ac:dyDescent="0.2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4" customHeight="1" x14ac:dyDescent="0.2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4" customHeight="1" x14ac:dyDescent="0.2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4" customHeight="1" x14ac:dyDescent="0.2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4" customHeight="1" x14ac:dyDescent="0.2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4" customHeight="1" x14ac:dyDescent="0.2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4" customHeight="1" x14ac:dyDescent="0.2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4" customHeight="1" x14ac:dyDescent="0.2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4" customHeight="1" x14ac:dyDescent="0.2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x14ac:dyDescent="0.25">
      <c r="X196" s="766"/>
      <c r="Y196" s="766"/>
      <c r="Z196" s="766"/>
      <c r="AA196" s="766"/>
      <c r="AB196" s="766"/>
      <c r="AC196" s="766"/>
      <c r="AD196" s="766"/>
      <c r="AE196" s="766"/>
      <c r="AF196" s="766"/>
      <c r="AG196" s="766"/>
      <c r="AH196" s="766"/>
      <c r="AI196" s="766"/>
      <c r="AJ196" s="766"/>
      <c r="AK196" s="766"/>
      <c r="AL196" s="766"/>
      <c r="AM196" s="766"/>
      <c r="AN196" s="766"/>
      <c r="AO196" s="766"/>
      <c r="AP196" s="766"/>
      <c r="AQ196" s="766"/>
      <c r="AR196" s="766"/>
      <c r="AS196" s="766"/>
      <c r="AT196" s="766"/>
      <c r="AU196" s="766"/>
      <c r="AV196" s="766"/>
      <c r="AW196" s="766"/>
      <c r="AX196" s="766"/>
      <c r="AY196" s="766"/>
      <c r="AZ196" s="766"/>
    </row>
    <row r="197" spans="1:52" ht="0" hidden="1" customHeight="1" x14ac:dyDescent="0.25">
      <c r="X197" s="766"/>
      <c r="Y197" s="766"/>
      <c r="Z197" s="766"/>
      <c r="AA197" s="766"/>
      <c r="AB197" s="766"/>
      <c r="AC197" s="766"/>
      <c r="AD197" s="766"/>
      <c r="AE197" s="766"/>
      <c r="AF197" s="766"/>
      <c r="AG197" s="766"/>
      <c r="AH197" s="766"/>
      <c r="AI197" s="766"/>
      <c r="AJ197" s="766"/>
      <c r="AK197" s="766"/>
      <c r="AL197" s="766"/>
      <c r="AM197" s="766"/>
      <c r="AN197" s="766"/>
      <c r="AO197" s="766"/>
      <c r="AP197" s="766"/>
      <c r="AQ197" s="766"/>
      <c r="AR197" s="766"/>
      <c r="AS197" s="766"/>
      <c r="AT197" s="766"/>
      <c r="AU197" s="766"/>
      <c r="AV197" s="766"/>
      <c r="AW197" s="766"/>
      <c r="AX197" s="766"/>
      <c r="AY197" s="766"/>
      <c r="AZ197" s="766"/>
    </row>
    <row r="198" spans="1:52" ht="0" hidden="1" customHeight="1" x14ac:dyDescent="0.25">
      <c r="X198" s="766"/>
      <c r="Y198" s="766"/>
      <c r="Z198" s="766"/>
      <c r="AA198" s="766"/>
      <c r="AB198" s="766"/>
      <c r="AC198" s="766"/>
      <c r="AD198" s="766"/>
      <c r="AE198" s="766"/>
      <c r="AF198" s="766"/>
      <c r="AG198" s="766"/>
      <c r="AH198" s="766"/>
      <c r="AI198" s="766"/>
      <c r="AJ198" s="766"/>
      <c r="AK198" s="766"/>
      <c r="AL198" s="766"/>
      <c r="AM198" s="766"/>
      <c r="AN198" s="766"/>
      <c r="AO198" s="766"/>
      <c r="AP198" s="766"/>
      <c r="AQ198" s="766"/>
      <c r="AR198" s="766"/>
      <c r="AS198" s="766"/>
      <c r="AT198" s="766"/>
      <c r="AU198" s="766"/>
      <c r="AV198" s="766"/>
      <c r="AW198" s="766"/>
      <c r="AX198" s="766"/>
      <c r="AY198" s="766"/>
      <c r="AZ198" s="766"/>
    </row>
    <row r="199" spans="1:52" ht="0" hidden="1" customHeight="1" x14ac:dyDescent="0.25">
      <c r="X199" s="766"/>
      <c r="Y199" s="766"/>
      <c r="Z199" s="766"/>
      <c r="AA199" s="766"/>
      <c r="AB199" s="766"/>
      <c r="AC199" s="766"/>
      <c r="AD199" s="766"/>
      <c r="AE199" s="766"/>
      <c r="AF199" s="766"/>
      <c r="AG199" s="766"/>
      <c r="AH199" s="766"/>
      <c r="AI199" s="766"/>
      <c r="AJ199" s="766"/>
      <c r="AK199" s="766"/>
      <c r="AL199" s="766"/>
      <c r="AM199" s="766"/>
      <c r="AN199" s="766"/>
      <c r="AO199" s="766"/>
      <c r="AP199" s="766"/>
      <c r="AQ199" s="766"/>
      <c r="AR199" s="766"/>
      <c r="AS199" s="766"/>
      <c r="AT199" s="766"/>
      <c r="AU199" s="766"/>
      <c r="AV199" s="766"/>
      <c r="AW199" s="766"/>
      <c r="AX199" s="766"/>
      <c r="AY199" s="766"/>
      <c r="AZ199" s="766"/>
    </row>
    <row r="200" spans="1:52" ht="0" hidden="1" customHeight="1" x14ac:dyDescent="0.25">
      <c r="X200" s="766"/>
      <c r="Y200" s="766"/>
      <c r="Z200" s="766"/>
      <c r="AA200" s="766"/>
      <c r="AB200" s="766"/>
      <c r="AC200" s="766"/>
      <c r="AD200" s="766"/>
      <c r="AE200" s="766"/>
      <c r="AF200" s="766"/>
      <c r="AG200" s="766"/>
      <c r="AH200" s="766"/>
      <c r="AI200" s="766"/>
      <c r="AJ200" s="766"/>
      <c r="AK200" s="766"/>
      <c r="AL200" s="766"/>
      <c r="AM200" s="766"/>
      <c r="AN200" s="766"/>
      <c r="AO200" s="766"/>
      <c r="AP200" s="766"/>
      <c r="AQ200" s="766"/>
      <c r="AR200" s="766"/>
      <c r="AS200" s="766"/>
      <c r="AT200" s="766"/>
      <c r="AU200" s="766"/>
      <c r="AV200" s="766"/>
      <c r="AW200" s="766"/>
      <c r="AX200" s="766"/>
      <c r="AY200" s="766"/>
      <c r="AZ200" s="766"/>
    </row>
    <row r="201" spans="1:52" ht="0" hidden="1" customHeight="1" x14ac:dyDescent="0.25"/>
    <row r="202" spans="1:52" ht="0" hidden="1" customHeight="1" x14ac:dyDescent="0.25"/>
    <row r="203" spans="1:52" ht="0" hidden="1" customHeight="1" x14ac:dyDescent="0.25"/>
    <row r="204" spans="1:52" ht="0" hidden="1" customHeight="1" x14ac:dyDescent="0.25"/>
    <row r="205" spans="1:52" ht="0" hidden="1" customHeight="1" x14ac:dyDescent="0.25"/>
  </sheetData>
  <conditionalFormatting sqref="B1">
    <cfRule type="cellIs" dxfId="2" priority="1" operator="equal">
      <formula>"Review Later"</formula>
    </cfRule>
    <cfRule type="cellIs" dxfId="1" priority="2" operator="equal">
      <formula>"Finished"</formula>
    </cfRule>
    <cfRule type="cellIs" dxfId="0" priority="3" operator="equal">
      <formula>"Incomplete"</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x14ac:dyDescent="0.25"/>
  <cols>
    <col min="1" max="1" width="11.6640625" style="1" customWidth="1"/>
    <col min="2" max="2" width="14.88671875" style="1" customWidth="1"/>
    <col min="3" max="52" width="12.109375" style="1" customWidth="1"/>
    <col min="53" max="55" width="0" style="1" hidden="1" customWidth="1"/>
    <col min="56" max="16384" width="12.109375" style="1" hidden="1"/>
  </cols>
  <sheetData>
    <row r="1" spans="1:52" ht="14.85" customHeight="1" thickBot="1" x14ac:dyDescent="0.3">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x14ac:dyDescent="0.25">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x14ac:dyDescent="0.25">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x14ac:dyDescent="0.25">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x14ac:dyDescent="0.25">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 customHeight="1" thickBot="1" x14ac:dyDescent="0.3">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x14ac:dyDescent="0.3">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x14ac:dyDescent="0.3">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x14ac:dyDescent="0.25">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x14ac:dyDescent="0.3">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x14ac:dyDescent="0.3">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x14ac:dyDescent="0.3">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x14ac:dyDescent="0.25">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x14ac:dyDescent="0.25">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x14ac:dyDescent="0.25">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x14ac:dyDescent="0.25">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x14ac:dyDescent="0.25">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x14ac:dyDescent="0.25">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x14ac:dyDescent="0.25">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x14ac:dyDescent="0.25">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x14ac:dyDescent="0.25">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x14ac:dyDescent="0.25">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x14ac:dyDescent="0.25">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x14ac:dyDescent="0.25">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x14ac:dyDescent="0.3">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x14ac:dyDescent="0.25">
      <c r="A27" s="7"/>
      <c r="B27" s="7"/>
      <c r="C27" s="7"/>
      <c r="D27" s="7" t="s">
        <v>1007</v>
      </c>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x14ac:dyDescent="0.25">
      <c r="A28" s="7" t="s">
        <v>667</v>
      </c>
      <c r="B28" s="7"/>
      <c r="C28" s="7">
        <v>2015</v>
      </c>
      <c r="D28" s="7">
        <v>2016</v>
      </c>
      <c r="E28" s="7">
        <v>2017</v>
      </c>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x14ac:dyDescent="0.25">
      <c r="A29" s="7"/>
      <c r="B29" s="7" t="s">
        <v>1006</v>
      </c>
      <c r="C29" s="7">
        <f t="shared" ref="C29:E30" si="0">F9/C9</f>
        <v>5.0999999999999997E-2</v>
      </c>
      <c r="D29" s="7">
        <f t="shared" si="0"/>
        <v>4.583333333333333E-2</v>
      </c>
      <c r="E29" s="7">
        <f t="shared" si="0"/>
        <v>4.3181818181818182E-2</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x14ac:dyDescent="0.25">
      <c r="A30" s="7"/>
      <c r="B30" s="7" t="s">
        <v>1003</v>
      </c>
      <c r="C30" s="7">
        <f t="shared" si="0"/>
        <v>9.4444444444444442E-2</v>
      </c>
      <c r="D30" s="7">
        <f t="shared" si="0"/>
        <v>0.1</v>
      </c>
      <c r="E30" s="7">
        <f t="shared" si="0"/>
        <v>0.10394736842105264</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x14ac:dyDescent="0.25">
      <c r="A32" s="7"/>
      <c r="B32" s="7" t="s">
        <v>1005</v>
      </c>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x14ac:dyDescent="0.25">
      <c r="A34" s="7"/>
      <c r="B34" s="7" t="s">
        <v>1004</v>
      </c>
      <c r="C34" s="7">
        <f>AVERAGE(C29:E29)</f>
        <v>4.667171717171717E-2</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x14ac:dyDescent="0.25">
      <c r="A35" s="7"/>
      <c r="B35" s="7" t="s">
        <v>1003</v>
      </c>
      <c r="C35" s="7">
        <f>AVERAGE(C30:E30)</f>
        <v>9.9463937621832366E-2</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x14ac:dyDescent="0.25">
      <c r="A37" s="7"/>
      <c r="B37" s="7" t="s">
        <v>1002</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x14ac:dyDescent="0.25">
      <c r="A39" s="7"/>
      <c r="B39" s="7" t="s">
        <v>1001</v>
      </c>
      <c r="C39" s="7">
        <f>1082/C34</f>
        <v>23183.205280813767</v>
      </c>
      <c r="D39" s="7" t="s">
        <v>1000</v>
      </c>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x14ac:dyDescent="0.25">
      <c r="A40" s="7"/>
      <c r="B40" s="7" t="s">
        <v>999</v>
      </c>
      <c r="C40" s="7">
        <f>1082/C35</f>
        <v>10878.314551690348</v>
      </c>
      <c r="D40" s="7" t="s">
        <v>998</v>
      </c>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x14ac:dyDescent="0.25">
      <c r="A44" s="7" t="s">
        <v>668</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x14ac:dyDescent="0.25">
      <c r="A45" s="7"/>
      <c r="B45" s="7" t="s">
        <v>997</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x14ac:dyDescent="0.25">
      <c r="A48" s="7" t="s">
        <v>996</v>
      </c>
      <c r="B48" s="7" t="s">
        <v>995</v>
      </c>
      <c r="C48" s="7" t="s">
        <v>994</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x14ac:dyDescent="0.25">
      <c r="A49" s="7"/>
      <c r="B49" s="7" t="s">
        <v>993</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x14ac:dyDescent="0.25">
      <c r="A52" s="7" t="s">
        <v>992</v>
      </c>
      <c r="B52" s="7" t="s">
        <v>991</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x14ac:dyDescent="0.25"/>
    <row r="197" spans="1:52" ht="0" hidden="1" customHeight="1" x14ac:dyDescent="0.25"/>
    <row r="198" spans="1:52" ht="0" hidden="1" customHeight="1" x14ac:dyDescent="0.25"/>
    <row r="199" spans="1:52" ht="0" hidden="1" customHeight="1" x14ac:dyDescent="0.25"/>
    <row r="200" spans="1:52" ht="0" hidden="1" customHeight="1" x14ac:dyDescent="0.25"/>
  </sheetData>
  <sheetProtection formatCells="0" formatColumns="0" formatRows="0" autoFilter="0"/>
  <mergeCells count="2">
    <mergeCell ref="C7:E7"/>
    <mergeCell ref="F7:H7"/>
  </mergeCells>
  <conditionalFormatting sqref="B1">
    <cfRule type="cellIs" dxfId="222" priority="1" operator="equal">
      <formula>"Review Later"</formula>
    </cfRule>
    <cfRule type="cellIs" dxfId="221" priority="2" operator="equal">
      <formula>"Finished"</formula>
    </cfRule>
    <cfRule type="cellIs" dxfId="220" priority="3" operator="equal">
      <formula>"Incomplete"</formula>
    </cfRule>
  </conditionalFormatting>
  <pageMargins left="0.7" right="0.7" top="0.75" bottom="0.75" header="0.51180555555555496" footer="0.51180555555555496"/>
  <pageSetup firstPageNumber="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82</vt:i4>
      </vt:variant>
    </vt:vector>
  </HeadingPairs>
  <TitlesOfParts>
    <vt:vector size="82" baseType="lpstr">
      <vt:lpstr>1 (1)</vt:lpstr>
      <vt:lpstr>1 (2)</vt:lpstr>
      <vt:lpstr>1 (3)</vt:lpstr>
      <vt:lpstr>2 (1)</vt:lpstr>
      <vt:lpstr>2 (2)</vt:lpstr>
      <vt:lpstr>3 (1)</vt:lpstr>
      <vt:lpstr>3 (2)</vt:lpstr>
      <vt:lpstr>3 (3)</vt:lpstr>
      <vt:lpstr>4 (1)</vt:lpstr>
      <vt:lpstr>4 (2)</vt:lpstr>
      <vt:lpstr>4 (3)</vt:lpstr>
      <vt:lpstr>5 (1)</vt:lpstr>
      <vt:lpstr>5 (2)</vt:lpstr>
      <vt:lpstr>5 (3)</vt:lpstr>
      <vt:lpstr>5 (4)</vt:lpstr>
      <vt:lpstr>5 (5)</vt:lpstr>
      <vt:lpstr>5 (6)</vt:lpstr>
      <vt:lpstr>5 (7)</vt:lpstr>
      <vt:lpstr>6 (1)</vt:lpstr>
      <vt:lpstr>6 (2)</vt:lpstr>
      <vt:lpstr>7 (1)</vt:lpstr>
      <vt:lpstr>7 (2)</vt:lpstr>
      <vt:lpstr>7 (3)</vt:lpstr>
      <vt:lpstr>8 (1)</vt:lpstr>
      <vt:lpstr>8 (2)</vt:lpstr>
      <vt:lpstr>8 (3)</vt:lpstr>
      <vt:lpstr>9 (1)</vt:lpstr>
      <vt:lpstr>10 (1)</vt:lpstr>
      <vt:lpstr>10 (2)</vt:lpstr>
      <vt:lpstr>10 (3)</vt:lpstr>
      <vt:lpstr>10 (4)</vt:lpstr>
      <vt:lpstr>10 (5)</vt:lpstr>
      <vt:lpstr>10 (6)</vt:lpstr>
      <vt:lpstr>10 (7)</vt:lpstr>
      <vt:lpstr>10 (8)</vt:lpstr>
      <vt:lpstr>10 (9)</vt:lpstr>
      <vt:lpstr>11 (1)</vt:lpstr>
      <vt:lpstr>11 (2)</vt:lpstr>
      <vt:lpstr>11 (3)</vt:lpstr>
      <vt:lpstr>12 (1)</vt:lpstr>
      <vt:lpstr>12 (2)</vt:lpstr>
      <vt:lpstr>13 (1)</vt:lpstr>
      <vt:lpstr>13 (2)</vt:lpstr>
      <vt:lpstr>13 (3)</vt:lpstr>
      <vt:lpstr>14 (1)</vt:lpstr>
      <vt:lpstr>14 (2)</vt:lpstr>
      <vt:lpstr>14 (3)</vt:lpstr>
      <vt:lpstr>15 (1)</vt:lpstr>
      <vt:lpstr>15 (2)</vt:lpstr>
      <vt:lpstr>16 (1)</vt:lpstr>
      <vt:lpstr>17 (1)</vt:lpstr>
      <vt:lpstr>17 (2)</vt:lpstr>
      <vt:lpstr>17 (3)</vt:lpstr>
      <vt:lpstr>18 (1)</vt:lpstr>
      <vt:lpstr>18 (2)</vt:lpstr>
      <vt:lpstr>19 (1)</vt:lpstr>
      <vt:lpstr>19 (2)</vt:lpstr>
      <vt:lpstr>19 (3)</vt:lpstr>
      <vt:lpstr>19 (4)</vt:lpstr>
      <vt:lpstr>19 (5)</vt:lpstr>
      <vt:lpstr>20 (1)</vt:lpstr>
      <vt:lpstr>20 (2)</vt:lpstr>
      <vt:lpstr>20 (3)</vt:lpstr>
      <vt:lpstr>21 (1)</vt:lpstr>
      <vt:lpstr>21 (2)</vt:lpstr>
      <vt:lpstr>21 (3)</vt:lpstr>
      <vt:lpstr>22 (1)</vt:lpstr>
      <vt:lpstr>22 (2)</vt:lpstr>
      <vt:lpstr>23 (1)</vt:lpstr>
      <vt:lpstr>23 (2)</vt:lpstr>
      <vt:lpstr>24 (1)</vt:lpstr>
      <vt:lpstr>24 (2)</vt:lpstr>
      <vt:lpstr>24 (3)</vt:lpstr>
      <vt:lpstr>24 (4)</vt:lpstr>
      <vt:lpstr>24 (5 a only)</vt:lpstr>
      <vt:lpstr>25 (1)</vt:lpstr>
      <vt:lpstr>25 (2)</vt:lpstr>
      <vt:lpstr>25 (3)</vt:lpstr>
      <vt:lpstr>25 (4)</vt:lpstr>
      <vt:lpstr>25 (5)</vt:lpstr>
      <vt:lpstr>26 (1)</vt:lpstr>
      <vt:lpstr>26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Jason Russ</cp:lastModifiedBy>
  <dcterms:created xsi:type="dcterms:W3CDTF">2018-06-02T05:20:18Z</dcterms:created>
  <dcterms:modified xsi:type="dcterms:W3CDTF">2018-07-17T02:53:18Z</dcterms:modified>
</cp:coreProperties>
</file>